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3635" activeTab="0"/>
  </bookViews>
  <sheets>
    <sheet name="Inner City" sheetId="1" r:id="rId1"/>
    <sheet name="Empire Perth" sheetId="2" r:id="rId2"/>
    <sheet name="Louis Botha" sheetId="3" r:id="rId3"/>
    <sheet name="Turffontein" sheetId="4" r:id="rId4"/>
    <sheet name="Mining Belt" sheetId="5" r:id="rId5"/>
    <sheet name="Jabulani" sheetId="6" r:id="rId6"/>
    <sheet name="Alexandra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<sst xmlns="http://schemas.openxmlformats.org/spreadsheetml/2006/main" count="220" uniqueCount="102">
  <si>
    <t xml:space="preserve">Project List </t>
  </si>
  <si>
    <t>Metro</t>
  </si>
  <si>
    <t xml:space="preserve">No. of projects reflected on pipeline </t>
  </si>
  <si>
    <t xml:space="preserve">Example of Catalytic Projects </t>
  </si>
  <si>
    <t>Total Value (R'm)</t>
  </si>
  <si>
    <t>Loan</t>
  </si>
  <si>
    <t xml:space="preserve">Grant </t>
  </si>
  <si>
    <t xml:space="preserve">Province </t>
  </si>
  <si>
    <t xml:space="preserve">SOE </t>
  </si>
  <si>
    <t>PPP</t>
  </si>
  <si>
    <t xml:space="preserve">%tTotal Value </t>
  </si>
  <si>
    <t xml:space="preserve">Private Sector Leverage (R'm) </t>
  </si>
  <si>
    <t xml:space="preserve">Project Status (% of Project Complete)  </t>
  </si>
  <si>
    <t>Selection</t>
  </si>
  <si>
    <t>Preparation</t>
  </si>
  <si>
    <t xml:space="preserve">Construction </t>
  </si>
  <si>
    <t>Completed</t>
  </si>
  <si>
    <t xml:space="preserve">Total </t>
  </si>
  <si>
    <t>Municipal (cash)</t>
  </si>
  <si>
    <t xml:space="preserve">South Hills Housing Mixed Development New RDP Houses SOUTH HILLS F Ward </t>
  </si>
  <si>
    <t xml:space="preserve">NR: Nodal Regeneration: Turffontein F Regional </t>
  </si>
  <si>
    <t xml:space="preserve">Turffontein Corridor (Housing) Renewal Corridors of Freedom Intervention TURFFONTEIN F Regional </t>
  </si>
  <si>
    <t xml:space="preserve">CORR - Turffontein Corridor of Freedom Traffic Impact Assessment (TIA), Stormwater Masterplan and New Construction and Upgrading Renewal Corridors of Freedom Intervention Renewal Stormwater Management Projects JOHANNESBURG F Regional </t>
  </si>
  <si>
    <t xml:space="preserve">Rotunda Park Precinct Turffontein Corridor (JDA)  New Precinct Redevelopment TURFFONTEIN F Regional </t>
  </si>
  <si>
    <t xml:space="preserve">Upgrading of Pioneer Park Renewal Park TURFFONTEIN F Regional </t>
  </si>
  <si>
    <t>Turffontein Corridor New Social Housing Project Region E</t>
  </si>
  <si>
    <t>Wemmer Pan precinct implementation</t>
  </si>
  <si>
    <t>Turffontein</t>
  </si>
  <si>
    <t xml:space="preserve">Fire Station - Alexandra and 'Be Safe Centre' New Building ALEXANDRA EXT.25 E Regional </t>
  </si>
  <si>
    <t xml:space="preserve">Balfour Park Transit Precinct Development (Louis Botha Corridor) Renewal Precinct Redevelopment SAVOY ESTATE E City Wide </t>
  </si>
  <si>
    <t xml:space="preserve">CORR - Louis Botha Corridor of Freedom Traffic Impact Assessment (TIA), Stormwater Masterplan and New COnstriction and Upgrading  Renewal Corridors of Freedom Intervention ORANGE GROVE E Regional </t>
  </si>
  <si>
    <t xml:space="preserve">Patterson Park Renewal Park ORANGE GROVE E City Wide </t>
  </si>
  <si>
    <t>Upgrade Orchards Substation New Bulk Infrastructure ORCHARDS F Regional</t>
  </si>
  <si>
    <t xml:space="preserve">Erf 43-46 Victoria Ext 3(Paterson Park Node) VICTORIA EXT.3  E Regional </t>
  </si>
  <si>
    <t xml:space="preserve">Watt Street Inter-change New Housing Development WYNBERG E Regional </t>
  </si>
  <si>
    <t>Alexandra Sports and Youth Development _SAFA Safe Hub Facility</t>
  </si>
  <si>
    <t>Paterson Park - stormwater &amp;new social facilities, park and road upgradings</t>
  </si>
  <si>
    <t>Watt Street Precinct, Wynberg</t>
  </si>
  <si>
    <t xml:space="preserve">Fleurhof Mixed Development (Bulk and internal infrastructure) New Bulk Infrastructure FLEURHOF C Ward </t>
  </si>
  <si>
    <t xml:space="preserve">Matholesville  New Bulk Infrastructure MATHOLESVILLE C Ward </t>
  </si>
  <si>
    <t>Bulk supply for the electrification of Fleurhof New Electrification FLEURHOF C</t>
  </si>
  <si>
    <t xml:space="preserve">RNP040_Crownwood Road Upgrade Renewal Roads: Construction and Upgrades CROWN EXT.2 B Regional </t>
  </si>
  <si>
    <t xml:space="preserve">MOB - City Deep Freight Hub. Renewal Roads: Construction and Upgrades CITY DEEP F City Wide </t>
  </si>
  <si>
    <t>Mining Belt West Development Corridor (Eastern Precinct):Technical studies on expropriation requirements, to release the necessary land to allow for new roads, road realignments and the widening of road reserves.</t>
  </si>
  <si>
    <t xml:space="preserve">Construction of a new MPC in Matholesville New Community Centre MATHOLESVILLE C Regional </t>
  </si>
  <si>
    <t>Fleurhof Urban Development Framework Interventions Implementation</t>
  </si>
  <si>
    <t>Detailed Road Master Plan for Mining Belt West Development Corridor</t>
  </si>
  <si>
    <t xml:space="preserve">Crown City Urban Renewal Strategy </t>
  </si>
  <si>
    <t>Inner City Eastern Gateway_high_density_residential_neighbourhoods_Ellis Park Precinct, Kazerne, Mongololo Informal Settlement</t>
  </si>
  <si>
    <t>Mining Belt</t>
  </si>
  <si>
    <t>Pennyville New Canada Social Housing Project Region B</t>
  </si>
  <si>
    <t xml:space="preserve">Westbury Development  Renewal Precinct Redevelopment WESTBURY B City Wide </t>
  </si>
  <si>
    <t xml:space="preserve">CORR - Perth Empire Corridor of Freedom Traffic Impact Assessment (TIA), Stormwater Masterplan and New Constriction and Upgrading Renewal Corridors of Freedom Intervention WESTBURY B Regional </t>
  </si>
  <si>
    <t>Penny Flats Social Housing Project Upgrade Region B</t>
  </si>
  <si>
    <t>Brixton MPC (Rec, Sports field and pool) upgrade MAYFAIR WEST B Ward</t>
  </si>
  <si>
    <t>Westdene Dam-precinct interventions</t>
  </si>
  <si>
    <t>Brixton Social Cluster</t>
  </si>
  <si>
    <t>Milpark Precinct Implementation</t>
  </si>
  <si>
    <t>Mayfair PEU</t>
  </si>
  <si>
    <t xml:space="preserve">Inner City </t>
  </si>
  <si>
    <t>Inner City Buildings Acquisitions</t>
  </si>
  <si>
    <t xml:space="preserve">Inner City Upgrading (Transitional/Emergency and Rental Stock) Renewal Rental Flats JOHANNESBURG F Regional </t>
  </si>
  <si>
    <t>Large: Public Transport Facility Redevelopment of Karzene, NEWTOWN EXT.1 Region F</t>
  </si>
  <si>
    <t>Managed Lanes: Dedicated Public Transport Lanes: Inner City</t>
  </si>
  <si>
    <t xml:space="preserve">Neibourhood Development for Bertrams Priority Block New Building Alterations BERTRAMS F Regional </t>
  </si>
  <si>
    <t xml:space="preserve">Inner City Roadmap Economic Development Initiatives Renewal Inner City Intervention JOHANNESBURG F Regional </t>
  </si>
  <si>
    <t>Casamia Inner City Building Upgrade Region F</t>
  </si>
  <si>
    <t>Inner City public environment and social facilities to support Affordable Housing strategy for Inner City Renewal</t>
  </si>
  <si>
    <t>Inner City Eastern Gateway_Development Infill in existing neighbourhoods</t>
  </si>
  <si>
    <t>Inner City Eastern Gateway_TOD and Movement Corridors</t>
  </si>
  <si>
    <t>Inner City Eastern Gateway_Parks_Community Facilities_NMT</t>
  </si>
  <si>
    <t xml:space="preserve">Large Public Transport Facility: Redevelopment of Jack Mincer and/or, Carr Street, Inner City </t>
  </si>
  <si>
    <t>Hillbrow Tower Precinct</t>
  </si>
  <si>
    <t>Innercity Core PEU (Including the Southern Parts)</t>
  </si>
  <si>
    <t>Park Station to Civic Centre PEU (Park Station Regeneration)</t>
  </si>
  <si>
    <t>Innercity Eastern Gateway</t>
  </si>
  <si>
    <t>Fordsburg PEU</t>
  </si>
  <si>
    <t>Ghandi Square East</t>
  </si>
  <si>
    <t>Inner City Partnership Fund</t>
  </si>
  <si>
    <t xml:space="preserve">Jabulani </t>
  </si>
  <si>
    <t>Jabulani Social Housing Project Region D</t>
  </si>
  <si>
    <t>Jabulani Station Renewal Nodal Transportation Facilities</t>
  </si>
  <si>
    <t>Soweto Theatre - Building Renovations and upgrades JABULANI D</t>
  </si>
  <si>
    <t>Jabulani Electrification</t>
  </si>
  <si>
    <t>Jabulani Cultural Precinct</t>
  </si>
  <si>
    <t>Jabulani Precinct Upgrades</t>
  </si>
  <si>
    <t xml:space="preserve">Alexandra </t>
  </si>
  <si>
    <t>Alexandra Hostel Redevelopment (M1) Renewal Building Alterations ALEXANDRA EXT.9 E Ward</t>
  </si>
  <si>
    <t>Development of open Space New Precinct Redevelopment ALEXANDRA EXT.53 E</t>
  </si>
  <si>
    <t>Marlboro Industrial Rented Housing New RDP Flats ALEXANDRA EXT.18 E</t>
  </si>
  <si>
    <t xml:space="preserve">Banakekelen Hospice New Clinic ALEXANDRA EXT.38 E Ward </t>
  </si>
  <si>
    <t>Linear Markets New Building Alterations ALEXANDRA EXT.45 E Regional</t>
  </si>
  <si>
    <t>Pedestrian Bridge Vincent Tshabalala Road New Bulk Infrastructure FAR EAST BANK EXT.9 E</t>
  </si>
  <si>
    <t>Alexandra UDF_Implementaton_of the Alex Land Agreement</t>
  </si>
  <si>
    <t>Madala Hostel Redevelopment</t>
  </si>
  <si>
    <t xml:space="preserve">Funding Source (Total Project Funding as per the MTEF)  </t>
  </si>
  <si>
    <t>City Deep Social Housing Upgrade Region F</t>
  </si>
  <si>
    <t>Empire-Perth</t>
  </si>
  <si>
    <t>LOUIS BOTHA CORRIDOR</t>
  </si>
  <si>
    <t xml:space="preserve">Funding Source (Total Project Value as per MTEF)  </t>
  </si>
  <si>
    <t xml:space="preserve">Funding Source (Total Project Value MTEF)  </t>
  </si>
  <si>
    <t>80 Plein Street Inner City Building Conversion Region F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</si>
</sst>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.00"/>
    <numFmt numFmtId="165" formatCode="\R\ 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33" borderId="10" xfId="0" applyFont="1" applyFill="1" applyBorder="1" applyAlignment="1">
      <alignment wrapText="1"/>
    </xf>
    <xf numFmtId="0" fontId="33" fillId="33" borderId="10" xfId="0" applyFont="1" applyFill="1" applyBorder="1" applyAlignment="1">
      <alignment/>
    </xf>
    <xf numFmtId="0" fontId="33" fillId="1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6" fontId="0" fillId="0" borderId="11" xfId="0" applyNumberFormat="1" applyFill="1" applyBorder="1" applyAlignment="1">
      <alignment/>
    </xf>
    <xf numFmtId="44" fontId="0" fillId="0" borderId="11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 horizontal="left"/>
    </xf>
    <xf numFmtId="16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0" xfId="0" applyFont="1" applyFill="1" applyAlignment="1">
      <alignment/>
    </xf>
    <xf numFmtId="164" fontId="33" fillId="0" borderId="11" xfId="0" applyNumberFormat="1" applyFont="1" applyFill="1" applyBorder="1" applyAlignment="1">
      <alignment/>
    </xf>
    <xf numFmtId="10" fontId="33" fillId="0" borderId="11" xfId="0" applyNumberFormat="1" applyFont="1" applyFill="1" applyBorder="1" applyAlignment="1">
      <alignment/>
    </xf>
    <xf numFmtId="44" fontId="0" fillId="0" borderId="11" xfId="44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3" fillId="0" borderId="11" xfId="55" applyFill="1" applyBorder="1" applyAlignment="1" applyProtection="1">
      <alignment wrapText="1"/>
      <protection/>
    </xf>
    <xf numFmtId="6" fontId="33" fillId="0" borderId="11" xfId="0" applyNumberFormat="1" applyFont="1" applyFill="1" applyBorder="1" applyAlignment="1">
      <alignment/>
    </xf>
    <xf numFmtId="9" fontId="0" fillId="0" borderId="11" xfId="58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9" fontId="0" fillId="0" borderId="10" xfId="58" applyFont="1" applyFill="1" applyBorder="1" applyAlignment="1">
      <alignment/>
    </xf>
    <xf numFmtId="0" fontId="33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6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164" fontId="33" fillId="0" borderId="11" xfId="0" applyNumberFormat="1" applyFont="1" applyFill="1" applyBorder="1" applyAlignment="1">
      <alignment horizontal="left"/>
    </xf>
    <xf numFmtId="42" fontId="0" fillId="0" borderId="11" xfId="45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44" fontId="33" fillId="0" borderId="11" xfId="44" applyFont="1" applyFill="1" applyBorder="1" applyAlignment="1">
      <alignment/>
    </xf>
    <xf numFmtId="165" fontId="0" fillId="0" borderId="0" xfId="0" applyNumberFormat="1" applyAlignment="1" applyProtection="1">
      <alignment/>
      <protection/>
    </xf>
    <xf numFmtId="0" fontId="33" fillId="14" borderId="11" xfId="0" applyFont="1" applyFill="1" applyBorder="1" applyAlignment="1">
      <alignment horizontal="center"/>
    </xf>
    <xf numFmtId="0" fontId="33" fillId="14" borderId="13" xfId="0" applyFont="1" applyFill="1" applyBorder="1" applyAlignment="1">
      <alignment horizontal="center"/>
    </xf>
    <xf numFmtId="0" fontId="33" fillId="14" borderId="14" xfId="0" applyFont="1" applyFill="1" applyBorder="1" applyAlignment="1">
      <alignment horizontal="center"/>
    </xf>
    <xf numFmtId="0" fontId="33" fillId="1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0082726\AppData\Local\Microsoft\Windows\Temporary%20Internet%20Files\Content.Outlook\K2WGKG1T\Copy%20of%20Targeted%20areas%20Projects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0094215\AppData\Roaming\Microsoft\Excel\Copy%20of%20Targeted%20areas%20Projects%20(version%201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0097335\AppData\Local\Microsoft\Windows\Temporary%20Internet%20Files\Content.Outlook\9BEW9KFE\Copy%20of%20Targeted%20areas%20Projects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ire Perth"/>
      <sheetName val="Louis Botha"/>
      <sheetName val="Inner City"/>
      <sheetName val="Turffontein"/>
      <sheetName val="Mining Belt"/>
      <sheetName val="Soweto Corridor"/>
      <sheetName val="Soweto remainder"/>
      <sheetName val="OR RAndburrg"/>
      <sheetName val="Greater Orange Farm"/>
      <sheetName val="Diepsloot"/>
      <sheetName val="Ivory ParkKaalfontein"/>
      <sheetName val="Alexandra"/>
    </sheetNames>
    <sheetDataSet>
      <sheetData sheetId="0">
        <row r="10">
          <cell r="AC10">
            <v>5000000</v>
          </cell>
          <cell r="AL10">
            <v>20000000</v>
          </cell>
          <cell r="AT10">
            <v>60000000</v>
          </cell>
        </row>
        <row r="11">
          <cell r="AC11">
            <v>40000000</v>
          </cell>
          <cell r="AK11">
            <v>20000000</v>
          </cell>
        </row>
        <row r="12">
          <cell r="AB12">
            <v>75000000</v>
          </cell>
          <cell r="AK12">
            <v>60000000</v>
          </cell>
          <cell r="AT12">
            <v>20000000</v>
          </cell>
        </row>
        <row r="16">
          <cell r="AB16">
            <v>7000000</v>
          </cell>
        </row>
        <row r="28">
          <cell r="AB28">
            <v>10000000</v>
          </cell>
        </row>
        <row r="29">
          <cell r="AB29">
            <v>35000000</v>
          </cell>
          <cell r="AK29">
            <v>45000000</v>
          </cell>
          <cell r="AT29">
            <v>40000000</v>
          </cell>
        </row>
        <row r="30">
          <cell r="AB30">
            <v>17500000</v>
          </cell>
          <cell r="AK30">
            <v>10000000</v>
          </cell>
          <cell r="AT30">
            <v>10000000</v>
          </cell>
        </row>
      </sheetData>
      <sheetData sheetId="1">
        <row r="12">
          <cell r="Y12">
            <v>5000000</v>
          </cell>
        </row>
        <row r="14">
          <cell r="F14">
            <v>15000000</v>
          </cell>
          <cell r="O14">
            <v>10000000</v>
          </cell>
          <cell r="X14">
            <v>10000000</v>
          </cell>
        </row>
        <row r="18">
          <cell r="G18">
            <v>4000000</v>
          </cell>
        </row>
        <row r="20">
          <cell r="Y20">
            <v>9000000</v>
          </cell>
        </row>
        <row r="21">
          <cell r="F21">
            <v>3000000</v>
          </cell>
          <cell r="O21">
            <v>10000000</v>
          </cell>
          <cell r="X21">
            <v>10000000</v>
          </cell>
        </row>
        <row r="22">
          <cell r="O22">
            <v>2000000</v>
          </cell>
          <cell r="X22">
            <v>2000000</v>
          </cell>
        </row>
        <row r="28">
          <cell r="F28">
            <v>50000000</v>
          </cell>
          <cell r="P28">
            <v>40000000</v>
          </cell>
          <cell r="X28">
            <v>40000000</v>
          </cell>
        </row>
        <row r="30">
          <cell r="H30">
            <v>62182000</v>
          </cell>
          <cell r="Q30">
            <v>67281000</v>
          </cell>
          <cell r="Y30">
            <v>80000000</v>
          </cell>
          <cell r="Z30">
            <v>1048000</v>
          </cell>
        </row>
      </sheetData>
      <sheetData sheetId="3">
        <row r="10">
          <cell r="O10">
            <v>2000000</v>
          </cell>
          <cell r="X10">
            <v>15000000</v>
          </cell>
        </row>
        <row r="12">
          <cell r="F12">
            <v>30694410</v>
          </cell>
        </row>
        <row r="13">
          <cell r="F13">
            <v>60000000</v>
          </cell>
          <cell r="O13">
            <v>70000000</v>
          </cell>
          <cell r="X13">
            <v>20000000</v>
          </cell>
        </row>
        <row r="15">
          <cell r="G15">
            <v>45000000</v>
          </cell>
          <cell r="P15">
            <v>30000000</v>
          </cell>
        </row>
        <row r="16">
          <cell r="G16">
            <v>5000000</v>
          </cell>
        </row>
        <row r="17">
          <cell r="G17">
            <v>1000000</v>
          </cell>
          <cell r="P17">
            <v>2000000</v>
          </cell>
          <cell r="X17">
            <v>3000000</v>
          </cell>
        </row>
        <row r="23">
          <cell r="O23">
            <v>1500000</v>
          </cell>
          <cell r="X23">
            <v>30000000</v>
          </cell>
        </row>
      </sheetData>
      <sheetData sheetId="4">
        <row r="9">
          <cell r="J9">
            <v>60000000</v>
          </cell>
        </row>
        <row r="15">
          <cell r="H15">
            <v>141928351</v>
          </cell>
          <cell r="Q15">
            <v>152808909</v>
          </cell>
        </row>
        <row r="16">
          <cell r="G16">
            <v>10000000</v>
          </cell>
          <cell r="O16">
            <v>24000000</v>
          </cell>
        </row>
        <row r="31">
          <cell r="O31">
            <v>1500000</v>
          </cell>
        </row>
        <row r="35">
          <cell r="F35">
            <v>2000000</v>
          </cell>
          <cell r="O35">
            <v>10000000</v>
          </cell>
        </row>
        <row r="36">
          <cell r="F36">
            <v>5000000</v>
          </cell>
          <cell r="O36">
            <v>25000000</v>
          </cell>
        </row>
        <row r="37">
          <cell r="O37">
            <v>1500000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pire Perth"/>
      <sheetName val="Louis Botha"/>
      <sheetName val="Inner City"/>
      <sheetName val="Turffontein"/>
      <sheetName val="Sheet3"/>
      <sheetName val="Mining Belt"/>
      <sheetName val="Soweto Corridor"/>
      <sheetName val="Soweto remainder"/>
      <sheetName val="OR RAndburrg"/>
      <sheetName val="Greater Orange Farm"/>
      <sheetName val="Diepsloot"/>
      <sheetName val="Ivory ParkKaalfontein"/>
      <sheetName val="Sheet1"/>
      <sheetName val="Sheet2"/>
      <sheetName val="Alexandra"/>
    </sheetNames>
    <sheetDataSet>
      <sheetData sheetId="2">
        <row r="14">
          <cell r="G14">
            <v>10000000</v>
          </cell>
          <cell r="O14">
            <v>10000000</v>
          </cell>
          <cell r="X14">
            <v>10000000</v>
          </cell>
        </row>
        <row r="25">
          <cell r="F25">
            <v>460000</v>
          </cell>
          <cell r="G25">
            <v>540000</v>
          </cell>
          <cell r="O25">
            <v>20000000</v>
          </cell>
        </row>
        <row r="28">
          <cell r="G28">
            <v>5000000</v>
          </cell>
          <cell r="O28">
            <v>5000000</v>
          </cell>
          <cell r="Y28">
            <v>5000000</v>
          </cell>
        </row>
        <row r="38">
          <cell r="X38">
            <v>10000000</v>
          </cell>
        </row>
        <row r="41">
          <cell r="X41">
            <v>800000</v>
          </cell>
        </row>
        <row r="42">
          <cell r="X42">
            <v>750000</v>
          </cell>
        </row>
        <row r="43">
          <cell r="X43">
            <v>600000</v>
          </cell>
        </row>
        <row r="44">
          <cell r="O44">
            <v>680197</v>
          </cell>
          <cell r="X44">
            <v>680197</v>
          </cell>
        </row>
        <row r="45">
          <cell r="O45">
            <v>1000000</v>
          </cell>
          <cell r="X45">
            <v>45000000</v>
          </cell>
        </row>
        <row r="46">
          <cell r="F46">
            <v>10000000</v>
          </cell>
        </row>
        <row r="47">
          <cell r="F47">
            <v>50000000</v>
          </cell>
          <cell r="O47">
            <v>30000000</v>
          </cell>
        </row>
        <row r="48">
          <cell r="F48">
            <v>5000000</v>
          </cell>
        </row>
        <row r="49">
          <cell r="F49">
            <v>10000000</v>
          </cell>
          <cell r="O49">
            <v>30000000</v>
          </cell>
          <cell r="X49">
            <v>30000000</v>
          </cell>
        </row>
        <row r="50">
          <cell r="F50">
            <v>10000000</v>
          </cell>
          <cell r="O50">
            <v>25000000</v>
          </cell>
          <cell r="X50">
            <v>25000000</v>
          </cell>
        </row>
        <row r="51">
          <cell r="F51">
            <v>10000000</v>
          </cell>
          <cell r="O51">
            <v>27400000</v>
          </cell>
          <cell r="X51">
            <v>25000000</v>
          </cell>
        </row>
        <row r="52">
          <cell r="F52">
            <v>10000000</v>
          </cell>
          <cell r="O52">
            <v>25000000</v>
          </cell>
          <cell r="X52">
            <v>25000000</v>
          </cell>
        </row>
      </sheetData>
      <sheetData sheetId="6">
        <row r="2">
          <cell r="G2">
            <v>12000000</v>
          </cell>
          <cell r="O2">
            <v>35000000</v>
          </cell>
          <cell r="X2">
            <v>15000000</v>
          </cell>
        </row>
        <row r="3">
          <cell r="G3">
            <v>30000000</v>
          </cell>
          <cell r="P3">
            <v>500000</v>
          </cell>
          <cell r="X3">
            <v>20000000</v>
          </cell>
        </row>
        <row r="4">
          <cell r="F4">
            <v>154043</v>
          </cell>
          <cell r="O4">
            <v>660184</v>
          </cell>
          <cell r="X4">
            <v>1122313</v>
          </cell>
        </row>
        <row r="5">
          <cell r="H5">
            <v>46990000</v>
          </cell>
          <cell r="Q5">
            <v>51436000</v>
          </cell>
          <cell r="Z5">
            <v>53984000</v>
          </cell>
        </row>
        <row r="6">
          <cell r="H6">
            <v>20000000</v>
          </cell>
          <cell r="Z6">
            <v>70000000</v>
          </cell>
        </row>
        <row r="7">
          <cell r="H7">
            <v>79523000</v>
          </cell>
          <cell r="Q7">
            <v>46867000</v>
          </cell>
          <cell r="Z7">
            <v>46867000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pire Perth"/>
      <sheetName val="Louis Botha"/>
      <sheetName val="Inner City"/>
      <sheetName val="Turffontein"/>
      <sheetName val="Mining Belt"/>
      <sheetName val="Soweto Corridor"/>
      <sheetName val="Soweto remainder"/>
      <sheetName val="OR RAndburrg"/>
      <sheetName val="Greater Orange Farm"/>
      <sheetName val="Diepsloot"/>
      <sheetName val="Ivory ParkKaalfontein"/>
      <sheetName val="Alexandra"/>
    </sheetNames>
    <sheetDataSet>
      <sheetData sheetId="11">
        <row r="5">
          <cell r="X5">
            <v>2000000</v>
          </cell>
        </row>
        <row r="7">
          <cell r="Y7">
            <v>2000000</v>
          </cell>
        </row>
        <row r="8">
          <cell r="X8">
            <v>1000000</v>
          </cell>
        </row>
        <row r="9">
          <cell r="P9">
            <v>1000000</v>
          </cell>
          <cell r="X9">
            <v>5000000</v>
          </cell>
        </row>
        <row r="11">
          <cell r="O11">
            <v>10000000</v>
          </cell>
          <cell r="X11">
            <v>10000000</v>
          </cell>
        </row>
        <row r="12">
          <cell r="G12">
            <v>10000000</v>
          </cell>
          <cell r="O12">
            <v>15000000</v>
          </cell>
        </row>
        <row r="14">
          <cell r="G14">
            <v>2000000</v>
          </cell>
          <cell r="P14">
            <v>2000000</v>
          </cell>
        </row>
        <row r="22">
          <cell r="S22">
            <v>1500000</v>
          </cell>
          <cell r="AB22">
            <v>30000000</v>
          </cell>
        </row>
        <row r="23">
          <cell r="F23">
            <v>8500000</v>
          </cell>
        </row>
        <row r="28">
          <cell r="AB28">
            <v>101510515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70" zoomScaleNormal="70" zoomScalePageLayoutView="0" workbookViewId="0" topLeftCell="A1">
      <selection activeCell="C40" sqref="C40"/>
    </sheetView>
  </sheetViews>
  <sheetFormatPr defaultColWidth="9.140625" defaultRowHeight="15"/>
  <cols>
    <col min="2" max="2" width="11.140625" style="0" customWidth="1"/>
    <col min="3" max="3" width="131.421875" style="0" customWidth="1"/>
    <col min="4" max="4" width="26.28125" style="0" customWidth="1"/>
    <col min="5" max="5" width="25.8515625" style="0" customWidth="1"/>
    <col min="6" max="7" width="22.140625" style="0" bestFit="1" customWidth="1"/>
    <col min="8" max="12" width="9.140625" style="0" customWidth="1"/>
  </cols>
  <sheetData>
    <row r="1" spans="1:18" ht="15">
      <c r="A1" s="38" t="s">
        <v>0</v>
      </c>
      <c r="B1" s="38"/>
      <c r="C1" s="38"/>
      <c r="D1" s="39" t="s">
        <v>99</v>
      </c>
      <c r="E1" s="40"/>
      <c r="F1" s="40"/>
      <c r="G1" s="40"/>
      <c r="H1" s="40"/>
      <c r="I1" s="40"/>
      <c r="J1" s="40"/>
      <c r="K1" s="41"/>
      <c r="L1" s="38" t="s">
        <v>12</v>
      </c>
      <c r="M1" s="38"/>
      <c r="N1" s="38"/>
      <c r="O1" s="38"/>
      <c r="P1" s="38"/>
      <c r="Q1" s="38"/>
      <c r="R1" s="38"/>
    </row>
    <row r="2" spans="1:18" ht="75">
      <c r="A2" s="3" t="s">
        <v>1</v>
      </c>
      <c r="B2" s="2" t="s">
        <v>2</v>
      </c>
      <c r="C2" s="2" t="s">
        <v>3</v>
      </c>
      <c r="D2" s="2" t="s">
        <v>4</v>
      </c>
      <c r="E2" s="2" t="s">
        <v>18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1"/>
    </row>
    <row r="3" spans="1:18" ht="15">
      <c r="A3" s="5" t="s">
        <v>59</v>
      </c>
      <c r="B3" s="5">
        <v>22</v>
      </c>
      <c r="C3" s="5"/>
      <c r="D3" s="11"/>
      <c r="E3" s="11"/>
      <c r="F3" s="11"/>
      <c r="G3" s="11"/>
      <c r="H3" s="12"/>
      <c r="I3" s="12"/>
      <c r="J3" s="12"/>
      <c r="K3" s="9"/>
      <c r="L3" s="5"/>
      <c r="M3" s="5"/>
      <c r="N3" s="13"/>
      <c r="O3" s="5"/>
      <c r="P3" s="24"/>
      <c r="Q3" s="5"/>
      <c r="R3" s="6"/>
    </row>
    <row r="4" spans="1:18" ht="15">
      <c r="A4" s="5"/>
      <c r="B4" s="5"/>
      <c r="C4" s="5" t="s">
        <v>60</v>
      </c>
      <c r="D4" s="11">
        <f aca="true" t="shared" si="0" ref="D4:D25">SUM(E4:J4)</f>
        <v>186000000</v>
      </c>
      <c r="E4" s="11">
        <f>30000000+80000000</f>
        <v>110000000</v>
      </c>
      <c r="F4" s="11">
        <v>76000000</v>
      </c>
      <c r="G4" s="11"/>
      <c r="H4" s="12"/>
      <c r="I4" s="12"/>
      <c r="J4" s="12"/>
      <c r="K4" s="9">
        <f>D4/1113910394</f>
        <v>0.16697931988234954</v>
      </c>
      <c r="L4" s="5"/>
      <c r="M4" s="5">
        <v>50</v>
      </c>
      <c r="N4" s="13">
        <v>50</v>
      </c>
      <c r="O4" s="5">
        <v>50</v>
      </c>
      <c r="P4" s="24">
        <f aca="true" t="shared" si="1" ref="P4:P25">SUM(M4:O4)/300</f>
        <v>0.5</v>
      </c>
      <c r="Q4" s="5"/>
      <c r="R4" s="6"/>
    </row>
    <row r="5" spans="1:18" ht="15">
      <c r="A5" s="5"/>
      <c r="B5" s="5"/>
      <c r="C5" s="5" t="s">
        <v>61</v>
      </c>
      <c r="D5" s="11">
        <f>SUM(E5:H5)</f>
        <v>220000000</v>
      </c>
      <c r="E5" s="11">
        <v>20000000</v>
      </c>
      <c r="F5" s="11"/>
      <c r="G5" s="11">
        <f>100000000+100000000</f>
        <v>200000000</v>
      </c>
      <c r="H5" s="12"/>
      <c r="I5" s="12"/>
      <c r="J5" s="12"/>
      <c r="K5" s="9">
        <f aca="true" t="shared" si="2" ref="K5:K26">D5/1113910394</f>
        <v>0.19750242136621987</v>
      </c>
      <c r="L5" s="5"/>
      <c r="M5" s="5">
        <v>20</v>
      </c>
      <c r="N5" s="13">
        <v>20</v>
      </c>
      <c r="O5" s="5">
        <v>20</v>
      </c>
      <c r="P5" s="24">
        <f t="shared" si="1"/>
        <v>0.2</v>
      </c>
      <c r="Q5" s="5"/>
      <c r="R5" s="6"/>
    </row>
    <row r="6" spans="1:18" ht="15">
      <c r="A6" s="5"/>
      <c r="B6" s="5"/>
      <c r="C6" s="5" t="s">
        <v>62</v>
      </c>
      <c r="D6" s="11">
        <f t="shared" si="0"/>
        <v>100000000</v>
      </c>
      <c r="E6" s="11">
        <v>100000000</v>
      </c>
      <c r="F6" s="11"/>
      <c r="G6" s="11"/>
      <c r="H6" s="12"/>
      <c r="I6" s="12"/>
      <c r="J6" s="12"/>
      <c r="K6" s="9">
        <f t="shared" si="2"/>
        <v>0.08977382789373631</v>
      </c>
      <c r="L6" s="5"/>
      <c r="M6" s="5">
        <v>100</v>
      </c>
      <c r="N6" s="13">
        <v>100</v>
      </c>
      <c r="O6" s="5">
        <v>35</v>
      </c>
      <c r="P6" s="24">
        <f t="shared" si="1"/>
        <v>0.7833333333333333</v>
      </c>
      <c r="Q6" s="5"/>
      <c r="R6" s="6"/>
    </row>
    <row r="7" spans="1:18" ht="15">
      <c r="A7" s="5"/>
      <c r="B7" s="5"/>
      <c r="C7" s="5" t="s">
        <v>63</v>
      </c>
      <c r="D7" s="11">
        <f t="shared" si="0"/>
        <v>30000000</v>
      </c>
      <c r="E7" s="11">
        <f>'[2]Inner City'!$G$14</f>
        <v>10000000</v>
      </c>
      <c r="F7" s="11">
        <f>'[2]Inner City'!$O$14+'[2]Inner City'!$X$14</f>
        <v>20000000</v>
      </c>
      <c r="G7" s="11"/>
      <c r="H7" s="12"/>
      <c r="I7" s="12"/>
      <c r="J7" s="12"/>
      <c r="K7" s="9">
        <f t="shared" si="2"/>
        <v>0.02693214836812089</v>
      </c>
      <c r="L7" s="5"/>
      <c r="M7" s="5">
        <v>50</v>
      </c>
      <c r="N7" s="13">
        <v>0</v>
      </c>
      <c r="O7" s="5">
        <v>0</v>
      </c>
      <c r="P7" s="24">
        <f t="shared" si="1"/>
        <v>0.16666666666666666</v>
      </c>
      <c r="Q7" s="5"/>
      <c r="R7" s="6"/>
    </row>
    <row r="8" spans="1:18" ht="15">
      <c r="A8" s="5"/>
      <c r="B8" s="5"/>
      <c r="C8" s="5" t="s">
        <v>64</v>
      </c>
      <c r="D8" s="11">
        <f t="shared" si="0"/>
        <v>21000000</v>
      </c>
      <c r="E8" s="11">
        <f>'[2]Inner City'!$G$25</f>
        <v>540000</v>
      </c>
      <c r="F8" s="11">
        <f>'[2]Inner City'!$F$25+'[2]Inner City'!$O$25</f>
        <v>20460000</v>
      </c>
      <c r="G8" s="11"/>
      <c r="H8" s="12"/>
      <c r="I8" s="12"/>
      <c r="J8" s="12"/>
      <c r="K8" s="9">
        <f t="shared" si="2"/>
        <v>0.018852503857684624</v>
      </c>
      <c r="L8" s="5"/>
      <c r="M8" s="5">
        <v>50</v>
      </c>
      <c r="N8" s="13">
        <v>40</v>
      </c>
      <c r="O8" s="5">
        <v>0</v>
      </c>
      <c r="P8" s="24">
        <f t="shared" si="1"/>
        <v>0.3</v>
      </c>
      <c r="Q8" s="5"/>
      <c r="R8" s="6"/>
    </row>
    <row r="9" spans="1:18" ht="15">
      <c r="A9" s="5"/>
      <c r="B9" s="5"/>
      <c r="C9" s="5" t="s">
        <v>65</v>
      </c>
      <c r="D9" s="11">
        <f t="shared" si="0"/>
        <v>15000000</v>
      </c>
      <c r="E9" s="11">
        <f>'[2]Inner City'!$G$28+'[2]Inner City'!$Y$28</f>
        <v>10000000</v>
      </c>
      <c r="F9" s="11">
        <f>'[2]Inner City'!$O$28</f>
        <v>5000000</v>
      </c>
      <c r="G9" s="11"/>
      <c r="H9" s="12"/>
      <c r="I9" s="12"/>
      <c r="J9" s="12"/>
      <c r="K9" s="9">
        <f t="shared" si="2"/>
        <v>0.013466074184060445</v>
      </c>
      <c r="L9" s="5"/>
      <c r="M9" s="5">
        <v>60</v>
      </c>
      <c r="N9" s="13">
        <v>30</v>
      </c>
      <c r="O9" s="5">
        <v>30</v>
      </c>
      <c r="P9" s="24">
        <f t="shared" si="1"/>
        <v>0.4</v>
      </c>
      <c r="Q9" s="5"/>
      <c r="R9" s="6"/>
    </row>
    <row r="10" spans="1:18" ht="15">
      <c r="A10" s="5"/>
      <c r="B10" s="5"/>
      <c r="C10" s="5" t="s">
        <v>66</v>
      </c>
      <c r="D10" s="11">
        <f t="shared" si="0"/>
        <v>15000000</v>
      </c>
      <c r="E10" s="11">
        <v>15000000</v>
      </c>
      <c r="F10" s="11"/>
      <c r="G10" s="11"/>
      <c r="H10" s="12"/>
      <c r="I10" s="12"/>
      <c r="J10" s="12"/>
      <c r="K10" s="9">
        <f t="shared" si="2"/>
        <v>0.013466074184060445</v>
      </c>
      <c r="L10" s="5"/>
      <c r="M10" s="5">
        <v>100</v>
      </c>
      <c r="N10" s="13">
        <v>80</v>
      </c>
      <c r="O10" s="5">
        <v>0</v>
      </c>
      <c r="P10" s="24">
        <f t="shared" si="1"/>
        <v>0.6</v>
      </c>
      <c r="Q10" s="5"/>
      <c r="R10" s="6"/>
    </row>
    <row r="11" spans="1:18" ht="15">
      <c r="A11" s="5"/>
      <c r="B11" s="5"/>
      <c r="C11" s="5" t="s">
        <v>67</v>
      </c>
      <c r="D11" s="11">
        <f t="shared" si="0"/>
        <v>10000000</v>
      </c>
      <c r="E11" s="11"/>
      <c r="F11" s="11">
        <f>'[2]Inner City'!$X$38</f>
        <v>10000000</v>
      </c>
      <c r="G11" s="11"/>
      <c r="H11" s="12"/>
      <c r="I11" s="12"/>
      <c r="J11" s="12"/>
      <c r="K11" s="9">
        <f t="shared" si="2"/>
        <v>0.008977382789373631</v>
      </c>
      <c r="L11" s="5"/>
      <c r="M11" s="5">
        <v>0</v>
      </c>
      <c r="N11" s="13">
        <v>0</v>
      </c>
      <c r="O11" s="5">
        <v>0</v>
      </c>
      <c r="P11" s="24">
        <f t="shared" si="1"/>
        <v>0</v>
      </c>
      <c r="Q11" s="5"/>
      <c r="R11" s="6"/>
    </row>
    <row r="12" spans="1:18" ht="15">
      <c r="A12" s="5"/>
      <c r="B12" s="5"/>
      <c r="C12" s="5" t="s">
        <v>48</v>
      </c>
      <c r="D12" s="11">
        <f t="shared" si="0"/>
        <v>800000</v>
      </c>
      <c r="E12" s="11"/>
      <c r="F12" s="11">
        <f>'[2]Inner City'!$X$41</f>
        <v>800000</v>
      </c>
      <c r="G12" s="11"/>
      <c r="H12" s="12"/>
      <c r="I12" s="12"/>
      <c r="J12" s="12"/>
      <c r="K12" s="9">
        <f t="shared" si="2"/>
        <v>0.0007181906231498905</v>
      </c>
      <c r="L12" s="5"/>
      <c r="M12" s="5">
        <v>25</v>
      </c>
      <c r="N12" s="13">
        <v>0</v>
      </c>
      <c r="O12" s="5">
        <v>0</v>
      </c>
      <c r="P12" s="24">
        <f t="shared" si="1"/>
        <v>0.08333333333333333</v>
      </c>
      <c r="Q12" s="5"/>
      <c r="R12" s="6"/>
    </row>
    <row r="13" spans="1:18" ht="15">
      <c r="A13" s="5"/>
      <c r="B13" s="5"/>
      <c r="C13" s="5" t="s">
        <v>68</v>
      </c>
      <c r="D13" s="11">
        <f t="shared" si="0"/>
        <v>750000</v>
      </c>
      <c r="E13" s="11"/>
      <c r="F13" s="11">
        <f>'[2]Inner City'!$X$42</f>
        <v>750000</v>
      </c>
      <c r="G13" s="11"/>
      <c r="H13" s="12"/>
      <c r="I13" s="12"/>
      <c r="J13" s="12"/>
      <c r="K13" s="9">
        <f t="shared" si="2"/>
        <v>0.0006733037092030223</v>
      </c>
      <c r="L13" s="5"/>
      <c r="M13" s="5">
        <v>10</v>
      </c>
      <c r="N13" s="13">
        <v>0</v>
      </c>
      <c r="O13" s="5">
        <v>0</v>
      </c>
      <c r="P13" s="24">
        <f t="shared" si="1"/>
        <v>0.03333333333333333</v>
      </c>
      <c r="Q13" s="5"/>
      <c r="R13" s="6"/>
    </row>
    <row r="14" spans="1:18" ht="15">
      <c r="A14" s="5"/>
      <c r="B14" s="5"/>
      <c r="C14" s="5" t="s">
        <v>69</v>
      </c>
      <c r="D14" s="11">
        <f t="shared" si="0"/>
        <v>600000</v>
      </c>
      <c r="E14" s="11"/>
      <c r="F14" s="11">
        <f>'[2]Inner City'!$X$43</f>
        <v>600000</v>
      </c>
      <c r="G14" s="11"/>
      <c r="H14" s="12"/>
      <c r="I14" s="12"/>
      <c r="J14" s="12"/>
      <c r="K14" s="9">
        <f t="shared" si="2"/>
        <v>0.0005386429673624178</v>
      </c>
      <c r="L14" s="5"/>
      <c r="M14" s="5">
        <v>10</v>
      </c>
      <c r="N14" s="13">
        <v>0</v>
      </c>
      <c r="O14" s="5">
        <v>0</v>
      </c>
      <c r="P14" s="24">
        <f t="shared" si="1"/>
        <v>0.03333333333333333</v>
      </c>
      <c r="Q14" s="5"/>
      <c r="R14" s="6"/>
    </row>
    <row r="15" spans="1:18" ht="15">
      <c r="A15" s="5"/>
      <c r="B15" s="5"/>
      <c r="C15" s="5" t="s">
        <v>70</v>
      </c>
      <c r="D15" s="11">
        <f t="shared" si="0"/>
        <v>1360394</v>
      </c>
      <c r="E15" s="11"/>
      <c r="F15" s="11">
        <f>'[2]Inner City'!$O$44+'[2]Inner City'!$X$44</f>
        <v>1360394</v>
      </c>
      <c r="G15" s="11"/>
      <c r="H15" s="12"/>
      <c r="I15" s="12"/>
      <c r="J15" s="12"/>
      <c r="K15" s="9">
        <f t="shared" si="2"/>
        <v>0.0012212777682367151</v>
      </c>
      <c r="L15" s="5"/>
      <c r="M15" s="5">
        <v>10</v>
      </c>
      <c r="N15" s="13">
        <v>0</v>
      </c>
      <c r="O15" s="5">
        <v>0</v>
      </c>
      <c r="P15" s="24">
        <f t="shared" si="1"/>
        <v>0.03333333333333333</v>
      </c>
      <c r="Q15" s="5"/>
      <c r="R15" s="6"/>
    </row>
    <row r="16" spans="1:18" ht="15">
      <c r="A16" s="5"/>
      <c r="B16" s="5"/>
      <c r="C16" s="5" t="s">
        <v>71</v>
      </c>
      <c r="D16" s="11">
        <f t="shared" si="0"/>
        <v>46000000</v>
      </c>
      <c r="E16" s="11"/>
      <c r="F16" s="11">
        <f>'[2]Inner City'!$O$45+'[2]Inner City'!$X$45</f>
        <v>46000000</v>
      </c>
      <c r="G16" s="11"/>
      <c r="H16" s="12"/>
      <c r="I16" s="12"/>
      <c r="J16" s="12"/>
      <c r="K16" s="9">
        <f t="shared" si="2"/>
        <v>0.0412959608311187</v>
      </c>
      <c r="L16" s="5"/>
      <c r="M16" s="5">
        <v>0</v>
      </c>
      <c r="N16" s="13">
        <v>0</v>
      </c>
      <c r="O16" s="5">
        <v>0</v>
      </c>
      <c r="P16" s="24">
        <f t="shared" si="1"/>
        <v>0</v>
      </c>
      <c r="Q16" s="5"/>
      <c r="R16" s="6"/>
    </row>
    <row r="17" spans="1:18" ht="15">
      <c r="A17" s="5"/>
      <c r="B17" s="5"/>
      <c r="C17" s="5" t="s">
        <v>72</v>
      </c>
      <c r="D17" s="11">
        <f t="shared" si="0"/>
        <v>10000000</v>
      </c>
      <c r="E17" s="11"/>
      <c r="F17" s="11">
        <f>'[2]Inner City'!$F$46</f>
        <v>10000000</v>
      </c>
      <c r="G17" s="11"/>
      <c r="H17" s="12"/>
      <c r="I17" s="12"/>
      <c r="J17" s="12"/>
      <c r="K17" s="9">
        <f t="shared" si="2"/>
        <v>0.008977382789373631</v>
      </c>
      <c r="L17" s="5"/>
      <c r="M17" s="5">
        <v>100</v>
      </c>
      <c r="N17" s="13">
        <v>10</v>
      </c>
      <c r="O17" s="5">
        <v>0</v>
      </c>
      <c r="P17" s="24">
        <f t="shared" si="1"/>
        <v>0.36666666666666664</v>
      </c>
      <c r="Q17" s="5"/>
      <c r="R17" s="6"/>
    </row>
    <row r="18" spans="1:18" ht="15">
      <c r="A18" s="5"/>
      <c r="B18" s="5"/>
      <c r="C18" s="5" t="s">
        <v>73</v>
      </c>
      <c r="D18" s="11">
        <f t="shared" si="0"/>
        <v>80000000</v>
      </c>
      <c r="E18" s="11"/>
      <c r="F18" s="11">
        <f>'[2]Inner City'!$F$47+'[2]Inner City'!$O$47</f>
        <v>80000000</v>
      </c>
      <c r="G18" s="11"/>
      <c r="H18" s="12"/>
      <c r="I18" s="12"/>
      <c r="J18" s="12"/>
      <c r="K18" s="9">
        <f t="shared" si="2"/>
        <v>0.07181906231498905</v>
      </c>
      <c r="L18" s="5"/>
      <c r="M18" s="5">
        <v>100</v>
      </c>
      <c r="N18" s="13">
        <v>10</v>
      </c>
      <c r="O18" s="5">
        <v>10</v>
      </c>
      <c r="P18" s="24">
        <f t="shared" si="1"/>
        <v>0.4</v>
      </c>
      <c r="Q18" s="5"/>
      <c r="R18" s="6"/>
    </row>
    <row r="19" spans="1:18" ht="15">
      <c r="A19" s="5"/>
      <c r="B19" s="5"/>
      <c r="C19" s="5" t="s">
        <v>74</v>
      </c>
      <c r="D19" s="11">
        <f t="shared" si="0"/>
        <v>5000000</v>
      </c>
      <c r="E19" s="11"/>
      <c r="F19" s="11">
        <f>'[2]Inner City'!$F$48</f>
        <v>5000000</v>
      </c>
      <c r="G19" s="11"/>
      <c r="H19" s="12"/>
      <c r="I19" s="12"/>
      <c r="J19" s="12"/>
      <c r="K19" s="9">
        <f t="shared" si="2"/>
        <v>0.004488691394686816</v>
      </c>
      <c r="L19" s="5"/>
      <c r="M19" s="5">
        <v>100</v>
      </c>
      <c r="N19" s="13">
        <v>10</v>
      </c>
      <c r="O19" s="5">
        <v>0</v>
      </c>
      <c r="P19" s="24">
        <f t="shared" si="1"/>
        <v>0.36666666666666664</v>
      </c>
      <c r="Q19" s="5"/>
      <c r="R19" s="6"/>
    </row>
    <row r="20" spans="1:18" ht="15">
      <c r="A20" s="5"/>
      <c r="B20" s="5"/>
      <c r="C20" s="5" t="s">
        <v>75</v>
      </c>
      <c r="D20" s="11">
        <f t="shared" si="0"/>
        <v>70000000</v>
      </c>
      <c r="E20" s="11"/>
      <c r="F20" s="11">
        <f>'[2]Inner City'!$F$49+'[2]Inner City'!$O$49+'[2]Inner City'!$X$49</f>
        <v>70000000</v>
      </c>
      <c r="G20" s="11"/>
      <c r="H20" s="12"/>
      <c r="I20" s="12"/>
      <c r="J20" s="12"/>
      <c r="K20" s="9">
        <f t="shared" si="2"/>
        <v>0.06284167952561541</v>
      </c>
      <c r="L20" s="5"/>
      <c r="M20" s="5">
        <v>10</v>
      </c>
      <c r="N20" s="13">
        <v>10</v>
      </c>
      <c r="O20" s="5">
        <v>0</v>
      </c>
      <c r="P20" s="24">
        <f t="shared" si="1"/>
        <v>0.06666666666666667</v>
      </c>
      <c r="Q20" s="5"/>
      <c r="R20" s="6"/>
    </row>
    <row r="21" spans="1:18" ht="15">
      <c r="A21" s="5"/>
      <c r="B21" s="5"/>
      <c r="C21" s="5" t="s">
        <v>76</v>
      </c>
      <c r="D21" s="11">
        <f t="shared" si="0"/>
        <v>60000000</v>
      </c>
      <c r="E21" s="11"/>
      <c r="F21" s="11">
        <f>'[2]Inner City'!$F$50+'[2]Inner City'!$O$50+'[2]Inner City'!$X$50</f>
        <v>60000000</v>
      </c>
      <c r="G21" s="11"/>
      <c r="H21" s="12"/>
      <c r="I21" s="12"/>
      <c r="J21" s="12"/>
      <c r="K21" s="9">
        <f t="shared" si="2"/>
        <v>0.05386429673624178</v>
      </c>
      <c r="L21" s="5"/>
      <c r="M21" s="5">
        <v>20</v>
      </c>
      <c r="N21" s="13">
        <v>0</v>
      </c>
      <c r="O21" s="5">
        <v>0</v>
      </c>
      <c r="P21" s="24">
        <f t="shared" si="1"/>
        <v>0.06666666666666667</v>
      </c>
      <c r="Q21" s="5"/>
      <c r="R21" s="6"/>
    </row>
    <row r="22" spans="1:18" ht="15">
      <c r="A22" s="5"/>
      <c r="B22" s="5"/>
      <c r="C22" s="5" t="s">
        <v>77</v>
      </c>
      <c r="D22" s="11">
        <f t="shared" si="0"/>
        <v>62400000</v>
      </c>
      <c r="E22" s="11"/>
      <c r="F22" s="11">
        <f>'[2]Inner City'!$F$51+'[2]Inner City'!$O$51+'[2]Inner City'!$X$51</f>
        <v>62400000</v>
      </c>
      <c r="G22" s="11"/>
      <c r="H22" s="12"/>
      <c r="I22" s="12"/>
      <c r="J22" s="12"/>
      <c r="K22" s="9">
        <f t="shared" si="2"/>
        <v>0.056018868605691455</v>
      </c>
      <c r="L22" s="5"/>
      <c r="M22" s="5">
        <v>0</v>
      </c>
      <c r="N22" s="13">
        <v>20</v>
      </c>
      <c r="O22" s="5">
        <v>0</v>
      </c>
      <c r="P22" s="24">
        <f t="shared" si="1"/>
        <v>0.06666666666666667</v>
      </c>
      <c r="Q22" s="5"/>
      <c r="R22" s="6"/>
    </row>
    <row r="23" spans="1:18" ht="15">
      <c r="A23" s="5"/>
      <c r="B23" s="5"/>
      <c r="C23" s="5" t="s">
        <v>58</v>
      </c>
      <c r="D23" s="11">
        <v>60000000</v>
      </c>
      <c r="E23" s="11"/>
      <c r="F23" s="11">
        <v>60000000</v>
      </c>
      <c r="G23" s="11"/>
      <c r="H23" s="12"/>
      <c r="I23" s="12"/>
      <c r="J23" s="12"/>
      <c r="K23" s="9">
        <f t="shared" si="2"/>
        <v>0.05386429673624178</v>
      </c>
      <c r="L23" s="5"/>
      <c r="M23" s="5">
        <v>50</v>
      </c>
      <c r="N23" s="13">
        <v>0</v>
      </c>
      <c r="O23" s="5">
        <v>0</v>
      </c>
      <c r="P23" s="24">
        <f t="shared" si="1"/>
        <v>0.16666666666666666</v>
      </c>
      <c r="Q23" s="5"/>
      <c r="R23" s="6"/>
    </row>
    <row r="24" spans="1:18" ht="15">
      <c r="A24" s="5"/>
      <c r="B24" s="5"/>
      <c r="C24" s="5" t="s">
        <v>101</v>
      </c>
      <c r="D24" s="11">
        <v>60000000</v>
      </c>
      <c r="E24" s="11"/>
      <c r="F24" s="11">
        <v>60000000</v>
      </c>
      <c r="G24" s="11"/>
      <c r="H24" s="12"/>
      <c r="I24" s="12"/>
      <c r="J24" s="12"/>
      <c r="K24" s="9">
        <f t="shared" si="2"/>
        <v>0.05386429673624178</v>
      </c>
      <c r="L24" s="5"/>
      <c r="M24" s="5"/>
      <c r="N24" s="13"/>
      <c r="O24" s="5"/>
      <c r="P24" s="24"/>
      <c r="Q24" s="5"/>
      <c r="R24" s="6"/>
    </row>
    <row r="25" spans="1:18" ht="15">
      <c r="A25" s="5"/>
      <c r="B25" s="5"/>
      <c r="C25" s="5" t="s">
        <v>78</v>
      </c>
      <c r="D25" s="11">
        <f t="shared" si="0"/>
        <v>60000000</v>
      </c>
      <c r="E25" s="11"/>
      <c r="F25" s="11">
        <f>'[2]Inner City'!$F$52+'[2]Inner City'!$O$52+'[2]Inner City'!$X$52</f>
        <v>60000000</v>
      </c>
      <c r="G25" s="11"/>
      <c r="H25" s="12"/>
      <c r="I25" s="12"/>
      <c r="J25" s="12"/>
      <c r="K25" s="9">
        <f t="shared" si="2"/>
        <v>0.05386429673624178</v>
      </c>
      <c r="L25" s="5"/>
      <c r="M25" s="5">
        <v>50</v>
      </c>
      <c r="N25" s="13">
        <v>50</v>
      </c>
      <c r="O25" s="5">
        <v>50</v>
      </c>
      <c r="P25" s="24">
        <f t="shared" si="1"/>
        <v>0.5</v>
      </c>
      <c r="Q25" s="5"/>
      <c r="R25" s="6"/>
    </row>
    <row r="26" spans="1:18" ht="15">
      <c r="A26" s="5"/>
      <c r="B26" s="5"/>
      <c r="C26" s="5"/>
      <c r="D26" s="32">
        <f>SUM(D3:D25)</f>
        <v>1113910394</v>
      </c>
      <c r="E26" s="18">
        <f>SUM(E3:E25)</f>
        <v>265540000</v>
      </c>
      <c r="F26" s="18">
        <f>SUM(F3:F25)</f>
        <v>648370394</v>
      </c>
      <c r="G26" s="18">
        <f>SUM(G3:G25)</f>
        <v>200000000</v>
      </c>
      <c r="H26" s="18"/>
      <c r="I26" s="18"/>
      <c r="J26" s="18"/>
      <c r="K26" s="9">
        <f t="shared" si="2"/>
        <v>1</v>
      </c>
      <c r="L26" s="5"/>
      <c r="M26" s="5"/>
      <c r="N26" s="9"/>
      <c r="O26" s="5"/>
      <c r="P26" s="5"/>
      <c r="Q26" s="5"/>
      <c r="R26" s="6"/>
    </row>
  </sheetData>
  <sheetProtection/>
  <mergeCells count="3">
    <mergeCell ref="A1:C1"/>
    <mergeCell ref="D1:K1"/>
    <mergeCell ref="L1:R1"/>
  </mergeCells>
  <printOptions/>
  <pageMargins left="0.7" right="0.7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82" zoomScaleNormal="82" zoomScalePageLayoutView="0" workbookViewId="0" topLeftCell="A1">
      <selection activeCell="B3" sqref="B3"/>
    </sheetView>
  </sheetViews>
  <sheetFormatPr defaultColWidth="9.140625" defaultRowHeight="15"/>
  <cols>
    <col min="1" max="1" width="23.7109375" style="0" customWidth="1"/>
    <col min="3" max="3" width="67.140625" style="0" customWidth="1"/>
    <col min="4" max="4" width="17.28125" style="0" bestFit="1" customWidth="1"/>
    <col min="5" max="5" width="16.140625" style="0" bestFit="1" customWidth="1"/>
    <col min="6" max="6" width="18.140625" style="0" customWidth="1"/>
    <col min="7" max="7" width="14.57421875" style="0" customWidth="1"/>
    <col min="15" max="15" width="13.140625" style="0" customWidth="1"/>
    <col min="17" max="17" width="8.7109375" style="0" customWidth="1"/>
    <col min="18" max="18" width="9.140625" style="0" hidden="1" customWidth="1"/>
  </cols>
  <sheetData>
    <row r="1" spans="1:18" ht="15">
      <c r="A1" s="38" t="s">
        <v>0</v>
      </c>
      <c r="B1" s="38"/>
      <c r="C1" s="38"/>
      <c r="D1" s="39" t="s">
        <v>99</v>
      </c>
      <c r="E1" s="40"/>
      <c r="F1" s="40"/>
      <c r="G1" s="40"/>
      <c r="H1" s="40"/>
      <c r="I1" s="40"/>
      <c r="J1" s="40"/>
      <c r="K1" s="41"/>
      <c r="L1" s="38" t="s">
        <v>12</v>
      </c>
      <c r="M1" s="38"/>
      <c r="N1" s="38"/>
      <c r="O1" s="38"/>
      <c r="P1" s="38"/>
      <c r="Q1" s="38"/>
      <c r="R1" s="38"/>
    </row>
    <row r="2" spans="1:17" ht="75">
      <c r="A2" s="3" t="s">
        <v>1</v>
      </c>
      <c r="B2" s="2" t="s">
        <v>2</v>
      </c>
      <c r="C2" s="2" t="s">
        <v>3</v>
      </c>
      <c r="D2" s="2" t="s">
        <v>4</v>
      </c>
      <c r="E2" s="2" t="s">
        <v>18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6" customFormat="1" ht="15">
      <c r="A3" s="25" t="s">
        <v>97</v>
      </c>
      <c r="B3" s="26">
        <v>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5"/>
      <c r="O3" s="25"/>
      <c r="P3" s="25"/>
      <c r="Q3" s="25"/>
    </row>
    <row r="4" spans="1:17" s="6" customFormat="1" ht="15">
      <c r="A4" s="5"/>
      <c r="B4" s="5"/>
      <c r="C4" s="22" t="s">
        <v>50</v>
      </c>
      <c r="D4" s="20">
        <f aca="true" t="shared" si="0" ref="D4:D11">SUM(E4:J4)</f>
        <v>85000000</v>
      </c>
      <c r="E4" s="20">
        <f>'[1]Empire Perth'!$AC$10+'[1]Empire Perth'!$AL$10</f>
        <v>25000000</v>
      </c>
      <c r="F4" s="20">
        <f>'[1]Empire Perth'!$AT$10</f>
        <v>60000000</v>
      </c>
      <c r="G4" s="5"/>
      <c r="H4" s="5"/>
      <c r="I4" s="5"/>
      <c r="J4" s="5"/>
      <c r="K4" s="9">
        <f>D4/526090000</f>
        <v>0.161569313235378</v>
      </c>
      <c r="L4" s="5"/>
      <c r="M4" s="5"/>
      <c r="N4" s="5"/>
      <c r="O4" s="5"/>
      <c r="P4" s="5"/>
      <c r="Q4" s="5"/>
    </row>
    <row r="5" spans="1:17" s="6" customFormat="1" ht="30">
      <c r="A5" s="5"/>
      <c r="B5" s="5"/>
      <c r="C5" s="22" t="s">
        <v>51</v>
      </c>
      <c r="D5" s="20">
        <f t="shared" si="0"/>
        <v>60000000</v>
      </c>
      <c r="E5" s="20">
        <f>'[1]Empire Perth'!$AC$11</f>
        <v>40000000</v>
      </c>
      <c r="F5" s="20">
        <f>'[1]Empire Perth'!$AK$11</f>
        <v>20000000</v>
      </c>
      <c r="G5" s="5"/>
      <c r="H5" s="5"/>
      <c r="I5" s="5"/>
      <c r="J5" s="5"/>
      <c r="K5" s="9">
        <f aca="true" t="shared" si="1" ref="K5:K12">D5/526090000</f>
        <v>0.11404892698967857</v>
      </c>
      <c r="L5" s="5"/>
      <c r="M5" s="5">
        <v>100</v>
      </c>
      <c r="N5" s="5">
        <v>100</v>
      </c>
      <c r="O5" s="5">
        <v>80</v>
      </c>
      <c r="P5" s="24">
        <f>SUM(M5:O5)/300</f>
        <v>0.9333333333333333</v>
      </c>
      <c r="Q5" s="5"/>
    </row>
    <row r="6" spans="1:17" s="6" customFormat="1" ht="45">
      <c r="A6" s="5"/>
      <c r="B6" s="5"/>
      <c r="C6" s="22" t="s">
        <v>52</v>
      </c>
      <c r="D6" s="20">
        <f t="shared" si="0"/>
        <v>155000000</v>
      </c>
      <c r="E6" s="20"/>
      <c r="F6" s="20">
        <f>'[1]Empire Perth'!$AB$12+'[1]Empire Perth'!$AK$12+'[1]Empire Perth'!$AT$12</f>
        <v>155000000</v>
      </c>
      <c r="G6" s="5"/>
      <c r="H6" s="5"/>
      <c r="I6" s="5"/>
      <c r="J6" s="5"/>
      <c r="K6" s="9">
        <f t="shared" si="1"/>
        <v>0.2946263947233363</v>
      </c>
      <c r="L6" s="5"/>
      <c r="M6" s="5">
        <v>100</v>
      </c>
      <c r="N6" s="5">
        <v>30</v>
      </c>
      <c r="O6" s="5">
        <v>20</v>
      </c>
      <c r="P6" s="24">
        <f aca="true" t="shared" si="2" ref="P6:P11">SUM(M6:O6)/300</f>
        <v>0.5</v>
      </c>
      <c r="Q6" s="5"/>
    </row>
    <row r="7" spans="1:17" s="6" customFormat="1" ht="15">
      <c r="A7" s="5"/>
      <c r="B7" s="5"/>
      <c r="C7" s="22" t="s">
        <v>53</v>
      </c>
      <c r="D7" s="20">
        <f t="shared" si="0"/>
        <v>7000000</v>
      </c>
      <c r="E7" s="20"/>
      <c r="F7" s="20">
        <f>'[1]Empire Perth'!$AB$16</f>
        <v>7000000</v>
      </c>
      <c r="G7" s="5"/>
      <c r="H7" s="5"/>
      <c r="I7" s="5"/>
      <c r="J7" s="5"/>
      <c r="K7" s="9">
        <f t="shared" si="1"/>
        <v>0.013305708148795833</v>
      </c>
      <c r="L7" s="5"/>
      <c r="M7" s="5"/>
      <c r="N7" s="5"/>
      <c r="O7" s="5"/>
      <c r="P7" s="24">
        <f t="shared" si="2"/>
        <v>0</v>
      </c>
      <c r="Q7" s="5"/>
    </row>
    <row r="8" spans="1:17" s="6" customFormat="1" ht="15">
      <c r="A8" s="5"/>
      <c r="B8" s="5"/>
      <c r="C8" s="22" t="s">
        <v>54</v>
      </c>
      <c r="D8" s="20">
        <f t="shared" si="0"/>
        <v>26000000</v>
      </c>
      <c r="E8" s="20">
        <v>12000000</v>
      </c>
      <c r="F8" s="20">
        <v>14000000</v>
      </c>
      <c r="G8" s="5"/>
      <c r="H8" s="5"/>
      <c r="I8" s="5"/>
      <c r="J8" s="5"/>
      <c r="K8" s="9">
        <f t="shared" si="1"/>
        <v>0.049421201695527384</v>
      </c>
      <c r="L8" s="5"/>
      <c r="M8" s="5"/>
      <c r="N8" s="5"/>
      <c r="O8" s="5"/>
      <c r="P8" s="24">
        <f t="shared" si="2"/>
        <v>0</v>
      </c>
      <c r="Q8" s="5"/>
    </row>
    <row r="9" spans="1:17" s="6" customFormat="1" ht="15">
      <c r="A9" s="5"/>
      <c r="B9" s="5"/>
      <c r="C9" s="22" t="s">
        <v>55</v>
      </c>
      <c r="D9" s="20">
        <f t="shared" si="0"/>
        <v>10000000</v>
      </c>
      <c r="E9" s="20"/>
      <c r="F9" s="20">
        <f>'[1]Empire Perth'!$AB$28</f>
        <v>10000000</v>
      </c>
      <c r="G9" s="5"/>
      <c r="H9" s="5"/>
      <c r="I9" s="5"/>
      <c r="J9" s="5"/>
      <c r="K9" s="9">
        <f t="shared" si="1"/>
        <v>0.01900815449827976</v>
      </c>
      <c r="L9" s="5"/>
      <c r="M9" s="5">
        <v>100</v>
      </c>
      <c r="N9" s="5">
        <v>100</v>
      </c>
      <c r="O9" s="5">
        <v>20</v>
      </c>
      <c r="P9" s="24">
        <f t="shared" si="2"/>
        <v>0.7333333333333333</v>
      </c>
      <c r="Q9" s="5"/>
    </row>
    <row r="10" spans="1:17" s="6" customFormat="1" ht="15">
      <c r="A10" s="5"/>
      <c r="B10" s="5"/>
      <c r="C10" s="22" t="s">
        <v>56</v>
      </c>
      <c r="D10" s="20">
        <f t="shared" si="0"/>
        <v>145590000</v>
      </c>
      <c r="E10" s="20"/>
      <c r="F10" s="20">
        <f>'[1]Empire Perth'!$AB$29+'[1]Empire Perth'!$AK$29+'[1]Empire Perth'!$AT$29</f>
        <v>120000000</v>
      </c>
      <c r="G10" s="37">
        <v>25590000</v>
      </c>
      <c r="H10" s="5"/>
      <c r="I10" s="5"/>
      <c r="J10" s="5"/>
      <c r="K10" s="9">
        <f t="shared" si="1"/>
        <v>0.27673972134045505</v>
      </c>
      <c r="L10" s="5"/>
      <c r="M10" s="5">
        <v>100</v>
      </c>
      <c r="N10" s="5">
        <v>15</v>
      </c>
      <c r="O10" s="5">
        <v>0</v>
      </c>
      <c r="P10" s="24">
        <f t="shared" si="2"/>
        <v>0.38333333333333336</v>
      </c>
      <c r="Q10" s="5"/>
    </row>
    <row r="11" spans="1:17" s="6" customFormat="1" ht="15">
      <c r="A11" s="5"/>
      <c r="B11" s="5"/>
      <c r="C11" s="22" t="s">
        <v>57</v>
      </c>
      <c r="D11" s="20">
        <f t="shared" si="0"/>
        <v>37500000</v>
      </c>
      <c r="E11" s="20"/>
      <c r="F11" s="20">
        <f>'[1]Empire Perth'!$AB$30+'[1]Empire Perth'!$AK$30+'[1]Empire Perth'!$AT$30</f>
        <v>37500000</v>
      </c>
      <c r="G11" s="5"/>
      <c r="H11" s="5"/>
      <c r="I11" s="5"/>
      <c r="J11" s="5"/>
      <c r="K11" s="9">
        <f t="shared" si="1"/>
        <v>0.0712805793685491</v>
      </c>
      <c r="L11" s="5"/>
      <c r="M11" s="5">
        <v>50</v>
      </c>
      <c r="N11" s="5">
        <v>40</v>
      </c>
      <c r="O11" s="5">
        <v>9</v>
      </c>
      <c r="P11" s="24">
        <f t="shared" si="2"/>
        <v>0.33</v>
      </c>
      <c r="Q11" s="5"/>
    </row>
    <row r="12" spans="1:17" s="6" customFormat="1" ht="15">
      <c r="A12" s="5"/>
      <c r="B12" s="5"/>
      <c r="C12" s="5"/>
      <c r="D12" s="36">
        <f>SUM(D4:D11)</f>
        <v>526090000</v>
      </c>
      <c r="E12" s="36">
        <f>SUM(E4:E11)</f>
        <v>77000000</v>
      </c>
      <c r="F12" s="36">
        <f>SUM(F4:F11)</f>
        <v>423500000</v>
      </c>
      <c r="G12" s="16"/>
      <c r="H12" s="16"/>
      <c r="I12" s="16"/>
      <c r="J12" s="16"/>
      <c r="K12" s="9">
        <f t="shared" si="1"/>
        <v>1</v>
      </c>
      <c r="L12" s="5"/>
      <c r="M12" s="5"/>
      <c r="N12" s="5"/>
      <c r="O12" s="5"/>
      <c r="P12" s="5"/>
      <c r="Q12" s="5"/>
    </row>
    <row r="13" s="6" customFormat="1" ht="15"/>
    <row r="14" s="6" customFormat="1" ht="15"/>
  </sheetData>
  <sheetProtection/>
  <mergeCells count="3">
    <mergeCell ref="A1:C1"/>
    <mergeCell ref="D1:K1"/>
    <mergeCell ref="L1:R1"/>
  </mergeCells>
  <printOptions/>
  <pageMargins left="0.7" right="0.7" top="0.75" bottom="0.75" header="0.3" footer="0.3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view="pageBreakPreview" zoomScale="76" zoomScaleSheetLayoutView="76" workbookViewId="0" topLeftCell="A1">
      <selection activeCell="C4" sqref="C4:C11"/>
    </sheetView>
  </sheetViews>
  <sheetFormatPr defaultColWidth="9.140625" defaultRowHeight="15"/>
  <cols>
    <col min="1" max="1" width="22.28125" style="0" customWidth="1"/>
    <col min="2" max="2" width="16.7109375" style="0" customWidth="1"/>
    <col min="3" max="3" width="50.57421875" style="0" customWidth="1"/>
    <col min="4" max="4" width="22.140625" style="0" customWidth="1"/>
    <col min="5" max="5" width="31.8515625" style="0" customWidth="1"/>
    <col min="6" max="6" width="24.8515625" style="0" customWidth="1"/>
    <col min="7" max="7" width="16.8515625" style="0" customWidth="1"/>
    <col min="14" max="14" width="12.00390625" style="0" customWidth="1"/>
  </cols>
  <sheetData>
    <row r="1" spans="1:18" s="4" customFormat="1" ht="28.5" customHeight="1">
      <c r="A1" s="38" t="s">
        <v>0</v>
      </c>
      <c r="B1" s="38"/>
      <c r="C1" s="38"/>
      <c r="D1" s="39" t="s">
        <v>99</v>
      </c>
      <c r="E1" s="40"/>
      <c r="F1" s="40"/>
      <c r="G1" s="40"/>
      <c r="H1" s="40"/>
      <c r="I1" s="40"/>
      <c r="J1" s="40"/>
      <c r="K1" s="41"/>
      <c r="L1" s="38" t="s">
        <v>12</v>
      </c>
      <c r="M1" s="38"/>
      <c r="N1" s="38"/>
      <c r="O1" s="38"/>
      <c r="P1" s="38"/>
      <c r="Q1" s="38"/>
      <c r="R1" s="38"/>
    </row>
    <row r="2" spans="1:17" s="1" customFormat="1" ht="74.25" customHeight="1">
      <c r="A2" s="3" t="s">
        <v>1</v>
      </c>
      <c r="B2" s="2" t="s">
        <v>2</v>
      </c>
      <c r="C2" s="2" t="s">
        <v>3</v>
      </c>
      <c r="D2" s="2" t="s">
        <v>4</v>
      </c>
      <c r="E2" s="2" t="s">
        <v>18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17" customFormat="1" ht="40.5" customHeight="1">
      <c r="A3" s="25" t="s">
        <v>98</v>
      </c>
      <c r="B3" s="26">
        <v>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5"/>
      <c r="O3" s="25"/>
      <c r="P3" s="25"/>
      <c r="Q3" s="25"/>
    </row>
    <row r="4" spans="1:17" s="6" customFormat="1" ht="45">
      <c r="A4" s="5"/>
      <c r="B4" s="5"/>
      <c r="C4" s="10" t="s">
        <v>29</v>
      </c>
      <c r="D4" s="7">
        <f aca="true" t="shared" si="0" ref="D4:D11">SUM(E4:J4)</f>
        <v>5000000</v>
      </c>
      <c r="E4" s="7">
        <f>'[1]Louis Botha'!$Y$12</f>
        <v>5000000</v>
      </c>
      <c r="F4" s="5"/>
      <c r="G4" s="5"/>
      <c r="H4" s="5"/>
      <c r="I4" s="5"/>
      <c r="J4" s="5"/>
      <c r="K4" s="9">
        <f>D4/420511000</f>
        <v>0.011890295378717799</v>
      </c>
      <c r="L4" s="5"/>
      <c r="M4" s="5">
        <v>100</v>
      </c>
      <c r="N4" s="5">
        <v>0</v>
      </c>
      <c r="O4" s="5">
        <v>0</v>
      </c>
      <c r="P4" s="24">
        <f>SUM(L4:O4)/300</f>
        <v>0.3333333333333333</v>
      </c>
      <c r="Q4" s="5"/>
    </row>
    <row r="5" spans="1:17" s="6" customFormat="1" ht="60">
      <c r="A5" s="5"/>
      <c r="B5" s="5"/>
      <c r="C5" s="10" t="s">
        <v>30</v>
      </c>
      <c r="D5" s="7">
        <f t="shared" si="0"/>
        <v>35000000</v>
      </c>
      <c r="E5" s="5"/>
      <c r="F5" s="7">
        <f>'[1]Louis Botha'!$F$14+'[1]Louis Botha'!$O$14+'[1]Louis Botha'!$X$14</f>
        <v>35000000</v>
      </c>
      <c r="G5" s="5"/>
      <c r="H5" s="5"/>
      <c r="I5" s="5"/>
      <c r="J5" s="5"/>
      <c r="K5" s="9">
        <f aca="true" t="shared" si="1" ref="K5:K12">D5/420511000</f>
        <v>0.08323206765102459</v>
      </c>
      <c r="L5" s="5"/>
      <c r="M5" s="5">
        <v>30</v>
      </c>
      <c r="N5" s="5">
        <v>0</v>
      </c>
      <c r="O5" s="5">
        <v>0</v>
      </c>
      <c r="P5" s="24">
        <f aca="true" t="shared" si="2" ref="P5:P11">SUM(L5:O5)/300</f>
        <v>0.1</v>
      </c>
      <c r="Q5" s="5"/>
    </row>
    <row r="6" spans="1:17" s="6" customFormat="1" ht="30">
      <c r="A6" s="5"/>
      <c r="B6" s="5"/>
      <c r="C6" s="10" t="s">
        <v>31</v>
      </c>
      <c r="D6" s="7">
        <f t="shared" si="0"/>
        <v>4000000</v>
      </c>
      <c r="E6" s="7">
        <f>'[1]Louis Botha'!$G$18</f>
        <v>4000000</v>
      </c>
      <c r="F6" s="5"/>
      <c r="G6" s="5"/>
      <c r="H6" s="5"/>
      <c r="I6" s="5"/>
      <c r="J6" s="5"/>
      <c r="K6" s="9">
        <f t="shared" si="1"/>
        <v>0.009512236302974238</v>
      </c>
      <c r="L6" s="5"/>
      <c r="M6" s="5">
        <v>100</v>
      </c>
      <c r="N6" s="5"/>
      <c r="O6" s="5"/>
      <c r="P6" s="24">
        <f t="shared" si="2"/>
        <v>0.3333333333333333</v>
      </c>
      <c r="Q6" s="5"/>
    </row>
    <row r="7" spans="1:17" s="6" customFormat="1" ht="30">
      <c r="A7" s="5"/>
      <c r="B7" s="5"/>
      <c r="C7" s="10" t="s">
        <v>32</v>
      </c>
      <c r="D7" s="7">
        <f t="shared" si="0"/>
        <v>9000000</v>
      </c>
      <c r="E7" s="7">
        <f>'[1]Louis Botha'!$Y$20</f>
        <v>9000000</v>
      </c>
      <c r="F7" s="5"/>
      <c r="G7" s="5"/>
      <c r="H7" s="5"/>
      <c r="I7" s="5"/>
      <c r="J7" s="5"/>
      <c r="K7" s="9">
        <f t="shared" si="1"/>
        <v>0.021402531681692035</v>
      </c>
      <c r="L7" s="5"/>
      <c r="M7" s="5">
        <v>50</v>
      </c>
      <c r="N7" s="5">
        <v>50</v>
      </c>
      <c r="O7" s="5">
        <v>0</v>
      </c>
      <c r="P7" s="24">
        <f t="shared" si="2"/>
        <v>0.3333333333333333</v>
      </c>
      <c r="Q7" s="5"/>
    </row>
    <row r="8" spans="1:17" s="6" customFormat="1" ht="30">
      <c r="A8" s="5"/>
      <c r="B8" s="5"/>
      <c r="C8" s="10" t="s">
        <v>33</v>
      </c>
      <c r="D8" s="7">
        <f t="shared" si="0"/>
        <v>23000000</v>
      </c>
      <c r="E8" s="5"/>
      <c r="F8" s="7">
        <f>'[1]Louis Botha'!$F$21+'[1]Louis Botha'!$O$21+'[1]Louis Botha'!$X$21</f>
        <v>23000000</v>
      </c>
      <c r="G8" s="5"/>
      <c r="H8" s="5"/>
      <c r="I8" s="5"/>
      <c r="J8" s="5"/>
      <c r="K8" s="9">
        <f t="shared" si="1"/>
        <v>0.05469535874210187</v>
      </c>
      <c r="L8" s="5"/>
      <c r="M8" s="5">
        <v>100</v>
      </c>
      <c r="N8" s="5">
        <v>20</v>
      </c>
      <c r="O8" s="5">
        <v>0</v>
      </c>
      <c r="P8" s="24">
        <f t="shared" si="2"/>
        <v>0.4</v>
      </c>
      <c r="Q8" s="5"/>
    </row>
    <row r="9" spans="1:17" s="6" customFormat="1" ht="30">
      <c r="A9" s="5"/>
      <c r="B9" s="5"/>
      <c r="C9" s="10" t="s">
        <v>34</v>
      </c>
      <c r="D9" s="7">
        <f t="shared" si="0"/>
        <v>4000000</v>
      </c>
      <c r="E9" s="5"/>
      <c r="F9" s="7">
        <f>'[1]Louis Botha'!$O$22+'[1]Louis Botha'!$X$22</f>
        <v>4000000</v>
      </c>
      <c r="G9" s="5"/>
      <c r="H9" s="5"/>
      <c r="I9" s="5"/>
      <c r="J9" s="5"/>
      <c r="K9" s="9">
        <f t="shared" si="1"/>
        <v>0.009512236302974238</v>
      </c>
      <c r="L9" s="5"/>
      <c r="M9" s="5">
        <v>0</v>
      </c>
      <c r="N9" s="5">
        <v>0</v>
      </c>
      <c r="O9" s="5">
        <v>0</v>
      </c>
      <c r="P9" s="24">
        <f t="shared" si="2"/>
        <v>0</v>
      </c>
      <c r="Q9" s="5"/>
    </row>
    <row r="10" spans="1:17" s="6" customFormat="1" ht="55.5" customHeight="1">
      <c r="A10" s="5"/>
      <c r="B10" s="5"/>
      <c r="C10" s="10" t="s">
        <v>36</v>
      </c>
      <c r="D10" s="7">
        <f t="shared" si="0"/>
        <v>130000000</v>
      </c>
      <c r="E10" s="7">
        <f>'[1]Louis Botha'!$P$28</f>
        <v>40000000</v>
      </c>
      <c r="F10" s="7">
        <f>'[1]Louis Botha'!$F$28+'[1]Louis Botha'!$X$28</f>
        <v>90000000</v>
      </c>
      <c r="G10" s="5"/>
      <c r="H10" s="5"/>
      <c r="I10" s="5"/>
      <c r="J10" s="5"/>
      <c r="K10" s="9">
        <f t="shared" si="1"/>
        <v>0.30914767984666275</v>
      </c>
      <c r="L10" s="5"/>
      <c r="M10" s="5">
        <v>100</v>
      </c>
      <c r="N10" s="5">
        <v>53</v>
      </c>
      <c r="O10" s="5">
        <v>40</v>
      </c>
      <c r="P10" s="24">
        <f t="shared" si="2"/>
        <v>0.6433333333333333</v>
      </c>
      <c r="Q10" s="5"/>
    </row>
    <row r="11" spans="1:17" s="6" customFormat="1" ht="33" customHeight="1">
      <c r="A11" s="5"/>
      <c r="B11" s="5"/>
      <c r="C11" s="10" t="s">
        <v>37</v>
      </c>
      <c r="D11" s="7">
        <f t="shared" si="0"/>
        <v>210511000</v>
      </c>
      <c r="E11" s="7">
        <f>'[1]Louis Botha'!$Y$30</f>
        <v>80000000</v>
      </c>
      <c r="F11" s="7"/>
      <c r="G11" s="7">
        <f>'[1]Louis Botha'!$H$30+'[1]Louis Botha'!$Q$30+'[1]Louis Botha'!$Z$30</f>
        <v>130511000</v>
      </c>
      <c r="H11" s="5"/>
      <c r="I11" s="5"/>
      <c r="J11" s="5"/>
      <c r="K11" s="9">
        <f t="shared" si="1"/>
        <v>0.5006075940938525</v>
      </c>
      <c r="L11" s="5"/>
      <c r="M11" s="5">
        <v>0</v>
      </c>
      <c r="N11" s="5">
        <v>0</v>
      </c>
      <c r="O11" s="5">
        <v>0</v>
      </c>
      <c r="P11" s="24">
        <f t="shared" si="2"/>
        <v>0</v>
      </c>
      <c r="Q11" s="5"/>
    </row>
    <row r="12" spans="1:17" s="6" customFormat="1" ht="15">
      <c r="A12" s="5"/>
      <c r="B12" s="5"/>
      <c r="C12" s="5"/>
      <c r="D12" s="7">
        <f>SUM(D4:D11)</f>
        <v>420511000</v>
      </c>
      <c r="E12" s="7">
        <f>SUM(E4:E11)</f>
        <v>138000000</v>
      </c>
      <c r="F12" s="7">
        <f>SUM(F4:F11)</f>
        <v>152000000</v>
      </c>
      <c r="G12" s="5">
        <f>SUM(G4:G11)</f>
        <v>130511000</v>
      </c>
      <c r="H12" s="5"/>
      <c r="I12" s="5"/>
      <c r="J12" s="5"/>
      <c r="K12" s="9">
        <f t="shared" si="1"/>
        <v>1</v>
      </c>
      <c r="L12" s="5"/>
      <c r="M12" s="5"/>
      <c r="N12" s="5"/>
      <c r="O12" s="5"/>
      <c r="P12" s="5"/>
      <c r="Q12" s="5"/>
    </row>
  </sheetData>
  <sheetProtection/>
  <mergeCells count="3">
    <mergeCell ref="A1:C1"/>
    <mergeCell ref="D1:K1"/>
    <mergeCell ref="L1:R1"/>
  </mergeCells>
  <printOptions/>
  <pageMargins left="0.7" right="0.7" top="0.75" bottom="0.75" header="0.3" footer="0.3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12.421875" style="0" customWidth="1"/>
    <col min="2" max="2" width="14.7109375" style="0" customWidth="1"/>
    <col min="3" max="3" width="57.28125" style="0" customWidth="1"/>
    <col min="4" max="4" width="25.8515625" style="0" customWidth="1"/>
    <col min="5" max="5" width="21.421875" style="0" customWidth="1"/>
    <col min="6" max="6" width="18.8515625" style="0" customWidth="1"/>
    <col min="7" max="7" width="17.140625" style="0" customWidth="1"/>
    <col min="8" max="10" width="9.140625" style="0" customWidth="1"/>
    <col min="11" max="11" width="16.8515625" style="0" customWidth="1"/>
    <col min="12" max="12" width="9.140625" style="0" customWidth="1"/>
    <col min="13" max="13" width="12.8515625" style="0" customWidth="1"/>
    <col min="14" max="14" width="14.57421875" style="0" customWidth="1"/>
    <col min="15" max="15" width="10.7109375" style="0" customWidth="1"/>
    <col min="17" max="17" width="14.8515625" style="0" customWidth="1"/>
    <col min="18" max="18" width="0.13671875" style="0" customWidth="1"/>
  </cols>
  <sheetData>
    <row r="1" spans="1:18" ht="15">
      <c r="A1" s="38" t="s">
        <v>0</v>
      </c>
      <c r="B1" s="38"/>
      <c r="C1" s="38"/>
      <c r="D1" s="39" t="s">
        <v>99</v>
      </c>
      <c r="E1" s="40"/>
      <c r="F1" s="40"/>
      <c r="G1" s="40"/>
      <c r="H1" s="40"/>
      <c r="I1" s="40"/>
      <c r="J1" s="40"/>
      <c r="K1" s="41"/>
      <c r="L1" s="38" t="s">
        <v>12</v>
      </c>
      <c r="M1" s="38"/>
      <c r="N1" s="38"/>
      <c r="O1" s="38"/>
      <c r="P1" s="38"/>
      <c r="Q1" s="38"/>
      <c r="R1" s="38"/>
    </row>
    <row r="2" spans="1:18" ht="60">
      <c r="A2" s="3" t="s">
        <v>1</v>
      </c>
      <c r="B2" s="2" t="s">
        <v>2</v>
      </c>
      <c r="C2" s="2" t="s">
        <v>3</v>
      </c>
      <c r="D2" s="2" t="s">
        <v>4</v>
      </c>
      <c r="E2" s="2" t="s">
        <v>18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1"/>
    </row>
    <row r="3" spans="1:18" s="6" customFormat="1" ht="15">
      <c r="A3" s="25" t="s">
        <v>27</v>
      </c>
      <c r="B3" s="26">
        <v>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5"/>
      <c r="O3" s="25"/>
      <c r="P3" s="27"/>
      <c r="Q3" s="25"/>
      <c r="R3" s="17"/>
    </row>
    <row r="4" spans="1:17" s="6" customFormat="1" ht="30">
      <c r="A4" s="5"/>
      <c r="B4" s="5"/>
      <c r="C4" s="10" t="s">
        <v>19</v>
      </c>
      <c r="D4" s="20">
        <f aca="true" t="shared" si="0" ref="D4:D13">SUM(E4:J4)</f>
        <v>170000000</v>
      </c>
      <c r="E4" s="5"/>
      <c r="F4" s="5"/>
      <c r="G4" s="7">
        <v>170000000</v>
      </c>
      <c r="H4" s="5"/>
      <c r="I4" s="5"/>
      <c r="J4" s="5"/>
      <c r="K4" s="9">
        <f>D4/515194410</f>
        <v>0.32997252435250607</v>
      </c>
      <c r="L4" s="5"/>
      <c r="M4" s="5">
        <v>50</v>
      </c>
      <c r="N4" s="5">
        <v>50</v>
      </c>
      <c r="O4" s="5">
        <v>0</v>
      </c>
      <c r="P4" s="27">
        <f aca="true" t="shared" si="1" ref="P4:P13">SUM(M4:O4)/300</f>
        <v>0.3333333333333333</v>
      </c>
      <c r="Q4" s="5"/>
    </row>
    <row r="5" spans="1:17" s="6" customFormat="1" ht="15">
      <c r="A5" s="5"/>
      <c r="B5" s="5"/>
      <c r="C5" s="10" t="s">
        <v>20</v>
      </c>
      <c r="D5" s="20">
        <f t="shared" si="0"/>
        <v>17000000</v>
      </c>
      <c r="E5" s="21"/>
      <c r="F5" s="7">
        <f>'[1]Turffontein'!$O$10+'[1]Turffontein'!$X$10</f>
        <v>17000000</v>
      </c>
      <c r="G5" s="5"/>
      <c r="H5" s="5"/>
      <c r="I5" s="5"/>
      <c r="J5" s="5"/>
      <c r="K5" s="9">
        <f aca="true" t="shared" si="2" ref="K5:K14">D5/515194410</f>
        <v>0.03299725243525061</v>
      </c>
      <c r="L5" s="5"/>
      <c r="M5" s="5">
        <v>50</v>
      </c>
      <c r="N5" s="5">
        <v>20</v>
      </c>
      <c r="O5" s="5">
        <v>0</v>
      </c>
      <c r="P5" s="27">
        <f t="shared" si="1"/>
        <v>0.23333333333333334</v>
      </c>
      <c r="Q5" s="5"/>
    </row>
    <row r="6" spans="1:17" s="6" customFormat="1" ht="30">
      <c r="A6" s="5"/>
      <c r="B6" s="5"/>
      <c r="C6" s="10" t="s">
        <v>21</v>
      </c>
      <c r="D6" s="20">
        <f t="shared" si="0"/>
        <v>30694410</v>
      </c>
      <c r="E6" s="5"/>
      <c r="F6" s="7">
        <f>'[1]Turffontein'!$F$12</f>
        <v>30694410</v>
      </c>
      <c r="G6" s="5"/>
      <c r="H6" s="5"/>
      <c r="I6" s="5"/>
      <c r="J6" s="5"/>
      <c r="K6" s="9">
        <f t="shared" si="2"/>
        <v>0.059578305595357685</v>
      </c>
      <c r="L6" s="5"/>
      <c r="M6" s="5">
        <v>0</v>
      </c>
      <c r="N6" s="5">
        <v>50</v>
      </c>
      <c r="O6" s="5">
        <v>0</v>
      </c>
      <c r="P6" s="27">
        <f t="shared" si="1"/>
        <v>0.16666666666666666</v>
      </c>
      <c r="Q6" s="5"/>
    </row>
    <row r="7" spans="1:17" s="6" customFormat="1" ht="75">
      <c r="A7" s="5"/>
      <c r="B7" s="5"/>
      <c r="C7" s="10" t="s">
        <v>22</v>
      </c>
      <c r="D7" s="20">
        <f t="shared" si="0"/>
        <v>150000000</v>
      </c>
      <c r="E7" s="7"/>
      <c r="F7" s="7">
        <f>'[1]Turffontein'!$F$13+'[1]Turffontein'!$O$13+'[1]Turffontein'!$X$13</f>
        <v>150000000</v>
      </c>
      <c r="G7" s="5"/>
      <c r="H7" s="5"/>
      <c r="I7" s="5"/>
      <c r="J7" s="5"/>
      <c r="K7" s="9">
        <f t="shared" si="2"/>
        <v>0.2911522273698583</v>
      </c>
      <c r="L7" s="5"/>
      <c r="M7" s="5">
        <v>80</v>
      </c>
      <c r="N7" s="5">
        <v>50</v>
      </c>
      <c r="O7" s="5">
        <v>0</v>
      </c>
      <c r="P7" s="27">
        <f t="shared" si="1"/>
        <v>0.43333333333333335</v>
      </c>
      <c r="Q7" s="5"/>
    </row>
    <row r="8" spans="1:17" s="6" customFormat="1" ht="30">
      <c r="A8" s="5"/>
      <c r="B8" s="5"/>
      <c r="C8" s="10" t="s">
        <v>23</v>
      </c>
      <c r="D8" s="20">
        <f t="shared" si="0"/>
        <v>75000000</v>
      </c>
      <c r="E8" s="7">
        <f>'[1]Turffontein'!$G$15+'[1]Turffontein'!$P$15</f>
        <v>75000000</v>
      </c>
      <c r="F8" s="7"/>
      <c r="G8" s="5"/>
      <c r="H8" s="5"/>
      <c r="I8" s="5"/>
      <c r="J8" s="5"/>
      <c r="K8" s="9">
        <f t="shared" si="2"/>
        <v>0.14557611368492915</v>
      </c>
      <c r="L8" s="5"/>
      <c r="M8" s="5">
        <v>100</v>
      </c>
      <c r="N8" s="5">
        <v>50</v>
      </c>
      <c r="O8" s="5">
        <v>0</v>
      </c>
      <c r="P8" s="27">
        <f t="shared" si="1"/>
        <v>0.5</v>
      </c>
      <c r="Q8" s="5"/>
    </row>
    <row r="9" spans="1:17" s="6" customFormat="1" ht="30">
      <c r="A9" s="5"/>
      <c r="B9" s="5"/>
      <c r="C9" s="10" t="s">
        <v>24</v>
      </c>
      <c r="D9" s="20">
        <f t="shared" si="0"/>
        <v>5000000</v>
      </c>
      <c r="E9" s="7">
        <f>'[1]Turffontein'!$G$16</f>
        <v>5000000</v>
      </c>
      <c r="F9" s="7"/>
      <c r="G9" s="5"/>
      <c r="H9" s="5"/>
      <c r="I9" s="5"/>
      <c r="J9" s="5"/>
      <c r="K9" s="9">
        <f t="shared" si="2"/>
        <v>0.009705074245661943</v>
      </c>
      <c r="L9" s="5"/>
      <c r="M9" s="5">
        <v>100</v>
      </c>
      <c r="N9" s="5">
        <v>80</v>
      </c>
      <c r="O9" s="5">
        <v>5</v>
      </c>
      <c r="P9" s="27">
        <f t="shared" si="1"/>
        <v>0.6166666666666667</v>
      </c>
      <c r="Q9" s="5"/>
    </row>
    <row r="10" spans="1:17" s="6" customFormat="1" ht="15">
      <c r="A10" s="5"/>
      <c r="B10" s="5"/>
      <c r="C10" s="10" t="s">
        <v>25</v>
      </c>
      <c r="D10" s="20">
        <f t="shared" si="0"/>
        <v>6000000</v>
      </c>
      <c r="E10" s="7">
        <f>'[1]Turffontein'!$G$17+'[1]Turffontein'!$P$17</f>
        <v>3000000</v>
      </c>
      <c r="F10" s="7">
        <f>'[1]Turffontein'!$X$17</f>
        <v>3000000</v>
      </c>
      <c r="G10" s="5"/>
      <c r="H10" s="5"/>
      <c r="I10" s="5"/>
      <c r="J10" s="5"/>
      <c r="K10" s="9">
        <f t="shared" si="2"/>
        <v>0.011646089094794332</v>
      </c>
      <c r="L10" s="5"/>
      <c r="M10" s="5"/>
      <c r="N10" s="5"/>
      <c r="O10" s="5"/>
      <c r="P10" s="27">
        <f t="shared" si="1"/>
        <v>0</v>
      </c>
      <c r="Q10" s="5"/>
    </row>
    <row r="11" spans="1:17" s="6" customFormat="1" ht="15">
      <c r="A11" s="5"/>
      <c r="B11" s="5"/>
      <c r="C11" s="10" t="s">
        <v>26</v>
      </c>
      <c r="D11" s="20">
        <f t="shared" si="0"/>
        <v>31500000</v>
      </c>
      <c r="E11" s="7"/>
      <c r="F11" s="7">
        <f>'[1]Turffontein'!$O$23+'[1]Turffontein'!$X$23</f>
        <v>31500000</v>
      </c>
      <c r="G11" s="5"/>
      <c r="H11" s="5"/>
      <c r="I11" s="5"/>
      <c r="J11" s="5"/>
      <c r="K11" s="9">
        <f t="shared" si="2"/>
        <v>0.061141967747670244</v>
      </c>
      <c r="L11" s="5"/>
      <c r="M11" s="5">
        <v>60</v>
      </c>
      <c r="N11" s="5">
        <v>0</v>
      </c>
      <c r="O11" s="5">
        <v>0</v>
      </c>
      <c r="P11" s="27">
        <f t="shared" si="1"/>
        <v>0.2</v>
      </c>
      <c r="Q11" s="5"/>
    </row>
    <row r="12" spans="1:17" s="6" customFormat="1" ht="30">
      <c r="A12" s="5"/>
      <c r="B12" s="5"/>
      <c r="C12" s="10" t="s">
        <v>42</v>
      </c>
      <c r="D12" s="20">
        <f t="shared" si="0"/>
        <v>23000000</v>
      </c>
      <c r="E12" s="7">
        <v>13000000</v>
      </c>
      <c r="F12" s="7">
        <v>10000000</v>
      </c>
      <c r="G12" s="5"/>
      <c r="H12" s="5"/>
      <c r="I12" s="5"/>
      <c r="J12" s="5"/>
      <c r="K12" s="9">
        <f t="shared" si="2"/>
        <v>0.04464334153004494</v>
      </c>
      <c r="L12" s="5"/>
      <c r="M12" s="5">
        <v>0</v>
      </c>
      <c r="N12" s="5">
        <v>50</v>
      </c>
      <c r="O12" s="5">
        <v>0</v>
      </c>
      <c r="P12" s="27">
        <f t="shared" si="1"/>
        <v>0.16666666666666666</v>
      </c>
      <c r="Q12" s="5"/>
    </row>
    <row r="13" spans="1:17" s="6" customFormat="1" ht="15">
      <c r="A13" s="5"/>
      <c r="B13" s="5"/>
      <c r="C13" s="10" t="s">
        <v>96</v>
      </c>
      <c r="D13" s="20">
        <f t="shared" si="0"/>
        <v>7000000</v>
      </c>
      <c r="E13" s="7">
        <v>0</v>
      </c>
      <c r="F13" s="7">
        <v>7000000</v>
      </c>
      <c r="G13" s="5"/>
      <c r="H13" s="5"/>
      <c r="I13" s="5"/>
      <c r="J13" s="5"/>
      <c r="K13" s="9">
        <f t="shared" si="2"/>
        <v>0.013587103943926721</v>
      </c>
      <c r="L13" s="5"/>
      <c r="M13" s="5">
        <v>0</v>
      </c>
      <c r="N13" s="5">
        <v>50</v>
      </c>
      <c r="O13" s="5">
        <v>0</v>
      </c>
      <c r="P13" s="27">
        <f t="shared" si="1"/>
        <v>0.16666666666666666</v>
      </c>
      <c r="Q13" s="5"/>
    </row>
    <row r="14" spans="1:17" s="6" customFormat="1" ht="15">
      <c r="A14" s="5"/>
      <c r="B14" s="5"/>
      <c r="C14" s="10"/>
      <c r="D14" s="8">
        <f>SUM(D4:D13)</f>
        <v>515194410</v>
      </c>
      <c r="E14" s="7">
        <f>SUM(E4:E13)</f>
        <v>96000000</v>
      </c>
      <c r="F14" s="7">
        <f>SUM(F4:F13)</f>
        <v>249194410</v>
      </c>
      <c r="G14" s="33">
        <f>SUM(G4:G13)</f>
        <v>170000000</v>
      </c>
      <c r="H14" s="5"/>
      <c r="I14" s="5"/>
      <c r="J14" s="5"/>
      <c r="K14" s="9">
        <f t="shared" si="2"/>
        <v>1</v>
      </c>
      <c r="L14" s="5"/>
      <c r="M14" s="5"/>
      <c r="N14" s="5"/>
      <c r="O14" s="5"/>
      <c r="P14" s="5"/>
      <c r="Q14" s="5"/>
    </row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  <row r="27" s="6" customFormat="1" ht="15"/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</sheetData>
  <sheetProtection/>
  <mergeCells count="3">
    <mergeCell ref="A1:C1"/>
    <mergeCell ref="D1:K1"/>
    <mergeCell ref="L1:R1"/>
  </mergeCells>
  <printOptions/>
  <pageMargins left="0.7" right="0.7" top="0.75" bottom="0.75" header="0.3" footer="0.3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5.28125" style="0" customWidth="1"/>
    <col min="2" max="2" width="13.28125" style="0" customWidth="1"/>
    <col min="3" max="3" width="68.00390625" style="0" customWidth="1"/>
    <col min="4" max="4" width="19.28125" style="0" customWidth="1"/>
    <col min="5" max="5" width="17.140625" style="0" customWidth="1"/>
    <col min="6" max="6" width="18.421875" style="0" customWidth="1"/>
    <col min="7" max="7" width="22.140625" style="0" customWidth="1"/>
    <col min="8" max="8" width="14.421875" style="0" customWidth="1"/>
    <col min="9" max="9" width="12.7109375" style="0" customWidth="1"/>
    <col min="11" max="11" width="19.57421875" style="0" customWidth="1"/>
    <col min="12" max="12" width="16.140625" style="0" customWidth="1"/>
    <col min="13" max="13" width="13.7109375" style="0" customWidth="1"/>
    <col min="14" max="14" width="15.421875" style="0" customWidth="1"/>
    <col min="15" max="15" width="15.00390625" style="0" customWidth="1"/>
    <col min="16" max="16" width="14.8515625" style="0" customWidth="1"/>
    <col min="18" max="18" width="2.8515625" style="0" hidden="1" customWidth="1"/>
  </cols>
  <sheetData>
    <row r="1" spans="1:18" ht="15">
      <c r="A1" s="38" t="s">
        <v>0</v>
      </c>
      <c r="B1" s="38"/>
      <c r="C1" s="38"/>
      <c r="D1" s="39" t="s">
        <v>99</v>
      </c>
      <c r="E1" s="40"/>
      <c r="F1" s="40"/>
      <c r="G1" s="40"/>
      <c r="H1" s="40"/>
      <c r="I1" s="40"/>
      <c r="J1" s="40"/>
      <c r="K1" s="41"/>
      <c r="L1" s="38" t="s">
        <v>12</v>
      </c>
      <c r="M1" s="38"/>
      <c r="N1" s="38"/>
      <c r="O1" s="38"/>
      <c r="P1" s="38"/>
      <c r="Q1" s="38"/>
      <c r="R1" s="38"/>
    </row>
    <row r="2" spans="1:17" ht="60">
      <c r="A2" s="3" t="s">
        <v>1</v>
      </c>
      <c r="B2" s="2" t="s">
        <v>2</v>
      </c>
      <c r="C2" s="2" t="s">
        <v>3</v>
      </c>
      <c r="D2" s="2" t="s">
        <v>4</v>
      </c>
      <c r="E2" s="2" t="s">
        <v>18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6" customFormat="1" ht="15">
      <c r="A3" s="5" t="s">
        <v>49</v>
      </c>
      <c r="B3" s="26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5"/>
      <c r="O3" s="25"/>
      <c r="P3" s="25"/>
      <c r="Q3" s="25"/>
    </row>
    <row r="4" spans="1:17" s="6" customFormat="1" ht="30">
      <c r="A4" s="5"/>
      <c r="B4" s="5"/>
      <c r="C4" s="10" t="s">
        <v>38</v>
      </c>
      <c r="D4" s="7">
        <f aca="true" t="shared" si="0" ref="D4:D12">SUM(E4:J4)</f>
        <v>60000000</v>
      </c>
      <c r="E4" s="5"/>
      <c r="F4" s="5"/>
      <c r="G4" s="7">
        <f>'[1]Mining Belt'!$J$9</f>
        <v>60000000</v>
      </c>
      <c r="H4" s="5"/>
      <c r="I4" s="5"/>
      <c r="J4" s="5"/>
      <c r="K4" s="9">
        <f>D4/525737260</f>
        <v>0.11412544737650894</v>
      </c>
      <c r="L4" s="5"/>
      <c r="M4" s="34">
        <v>80</v>
      </c>
      <c r="N4" s="34">
        <v>20</v>
      </c>
      <c r="O4" s="34">
        <v>15</v>
      </c>
      <c r="P4" s="35">
        <f>SUM(M4:O4)/300</f>
        <v>0.38333333333333336</v>
      </c>
      <c r="Q4" s="5"/>
    </row>
    <row r="5" spans="1:17" s="6" customFormat="1" ht="15">
      <c r="A5" s="5"/>
      <c r="B5" s="5"/>
      <c r="C5" s="10" t="s">
        <v>39</v>
      </c>
      <c r="D5" s="7">
        <f t="shared" si="0"/>
        <v>10000000</v>
      </c>
      <c r="E5" s="5"/>
      <c r="F5" s="5"/>
      <c r="G5" s="7">
        <v>10000000</v>
      </c>
      <c r="H5" s="5"/>
      <c r="I5" s="5"/>
      <c r="J5" s="5"/>
      <c r="K5" s="9">
        <f aca="true" t="shared" si="1" ref="K5:K13">D5/525737260</f>
        <v>0.019020907896084824</v>
      </c>
      <c r="L5" s="5"/>
      <c r="M5" s="5">
        <v>0</v>
      </c>
      <c r="N5" s="5">
        <v>0</v>
      </c>
      <c r="O5" s="5">
        <v>0</v>
      </c>
      <c r="P5" s="35">
        <f aca="true" t="shared" si="2" ref="P5:P12">SUM(M5:O5)/300</f>
        <v>0</v>
      </c>
      <c r="Q5" s="5"/>
    </row>
    <row r="6" spans="1:17" s="6" customFormat="1" ht="30">
      <c r="A6" s="5"/>
      <c r="B6" s="5"/>
      <c r="C6" s="10" t="s">
        <v>40</v>
      </c>
      <c r="D6" s="7">
        <f t="shared" si="0"/>
        <v>294737260</v>
      </c>
      <c r="E6" s="5"/>
      <c r="F6" s="5"/>
      <c r="G6" s="7">
        <f>'[1]Mining Belt'!$H$15+'[1]Mining Belt'!$Q$15</f>
        <v>294737260</v>
      </c>
      <c r="H6" s="5"/>
      <c r="I6" s="5"/>
      <c r="J6" s="5"/>
      <c r="K6" s="9">
        <f t="shared" si="1"/>
        <v>0.5606170276004405</v>
      </c>
      <c r="L6" s="5"/>
      <c r="M6" s="5">
        <v>0</v>
      </c>
      <c r="N6" s="5">
        <v>0</v>
      </c>
      <c r="O6" s="5">
        <v>0</v>
      </c>
      <c r="P6" s="35">
        <f t="shared" si="2"/>
        <v>0</v>
      </c>
      <c r="Q6" s="5"/>
    </row>
    <row r="7" spans="1:17" s="6" customFormat="1" ht="32.25" customHeight="1">
      <c r="A7" s="5"/>
      <c r="B7" s="5"/>
      <c r="C7" s="10" t="s">
        <v>41</v>
      </c>
      <c r="D7" s="7">
        <f t="shared" si="0"/>
        <v>34000000</v>
      </c>
      <c r="E7" s="7">
        <f>'[1]Mining Belt'!$G$16</f>
        <v>10000000</v>
      </c>
      <c r="F7" s="7">
        <f>'[1]Mining Belt'!$O$16</f>
        <v>24000000</v>
      </c>
      <c r="G7" s="5"/>
      <c r="H7" s="5"/>
      <c r="I7" s="5"/>
      <c r="J7" s="5"/>
      <c r="K7" s="9">
        <f t="shared" si="1"/>
        <v>0.0646710868466884</v>
      </c>
      <c r="L7" s="5"/>
      <c r="M7" s="5">
        <v>10</v>
      </c>
      <c r="N7" s="5">
        <v>0</v>
      </c>
      <c r="O7" s="5">
        <v>0</v>
      </c>
      <c r="P7" s="35">
        <f t="shared" si="2"/>
        <v>0.03333333333333333</v>
      </c>
      <c r="Q7" s="5"/>
    </row>
    <row r="8" spans="1:17" s="6" customFormat="1" ht="49.5" customHeight="1">
      <c r="A8" s="5"/>
      <c r="B8" s="5"/>
      <c r="C8" s="10" t="s">
        <v>43</v>
      </c>
      <c r="D8" s="7">
        <f t="shared" si="0"/>
        <v>1500000</v>
      </c>
      <c r="E8" s="5"/>
      <c r="F8" s="7">
        <f>'[1]Mining Belt'!$O$31</f>
        <v>1500000</v>
      </c>
      <c r="G8" s="5"/>
      <c r="H8" s="5"/>
      <c r="I8" s="5"/>
      <c r="J8" s="5"/>
      <c r="K8" s="9">
        <f t="shared" si="1"/>
        <v>0.0028531361844127234</v>
      </c>
      <c r="L8" s="5"/>
      <c r="M8" s="5">
        <v>0</v>
      </c>
      <c r="N8" s="5">
        <v>0</v>
      </c>
      <c r="O8" s="5">
        <v>0</v>
      </c>
      <c r="P8" s="35">
        <f t="shared" si="2"/>
        <v>0</v>
      </c>
      <c r="Q8" s="5"/>
    </row>
    <row r="9" spans="1:17" s="6" customFormat="1" ht="30">
      <c r="A9" s="5"/>
      <c r="B9" s="5"/>
      <c r="C9" s="10" t="s">
        <v>44</v>
      </c>
      <c r="D9" s="7">
        <f t="shared" si="0"/>
        <v>62000000</v>
      </c>
      <c r="E9" s="5"/>
      <c r="F9" s="7">
        <v>15000000</v>
      </c>
      <c r="G9" s="7">
        <v>47000000</v>
      </c>
      <c r="H9" s="5"/>
      <c r="I9" s="5"/>
      <c r="J9" s="5"/>
      <c r="K9" s="9">
        <f t="shared" si="1"/>
        <v>0.11792962895572591</v>
      </c>
      <c r="L9" s="5"/>
      <c r="M9" s="5">
        <v>0</v>
      </c>
      <c r="N9" s="5">
        <v>10</v>
      </c>
      <c r="O9" s="5">
        <v>0</v>
      </c>
      <c r="P9" s="35">
        <f t="shared" si="2"/>
        <v>0.03333333333333333</v>
      </c>
      <c r="Q9" s="5"/>
    </row>
    <row r="10" spans="1:17" s="6" customFormat="1" ht="15">
      <c r="A10" s="5"/>
      <c r="B10" s="5"/>
      <c r="C10" s="10" t="s">
        <v>45</v>
      </c>
      <c r="D10" s="7">
        <f t="shared" si="0"/>
        <v>32000000</v>
      </c>
      <c r="E10" s="5">
        <v>20000000</v>
      </c>
      <c r="F10" s="7">
        <f>'[1]Mining Belt'!$F$35+'[1]Mining Belt'!$O$35</f>
        <v>12000000</v>
      </c>
      <c r="G10" s="5"/>
      <c r="H10" s="5"/>
      <c r="I10" s="5"/>
      <c r="J10" s="5"/>
      <c r="K10" s="9">
        <f t="shared" si="1"/>
        <v>0.06086690526747143</v>
      </c>
      <c r="L10" s="5"/>
      <c r="M10" s="5">
        <v>0</v>
      </c>
      <c r="N10" s="5">
        <v>0</v>
      </c>
      <c r="O10" s="5">
        <v>0</v>
      </c>
      <c r="P10" s="35">
        <f t="shared" si="2"/>
        <v>0</v>
      </c>
      <c r="Q10" s="5"/>
    </row>
    <row r="11" spans="1:17" s="6" customFormat="1" ht="15">
      <c r="A11" s="5"/>
      <c r="B11" s="5"/>
      <c r="C11" s="10" t="s">
        <v>46</v>
      </c>
      <c r="D11" s="7">
        <f t="shared" si="0"/>
        <v>30000000</v>
      </c>
      <c r="E11" s="5"/>
      <c r="F11" s="7">
        <f>'[1]Mining Belt'!$F$36+'[1]Mining Belt'!$O$36</f>
        <v>30000000</v>
      </c>
      <c r="G11" s="5"/>
      <c r="H11" s="5"/>
      <c r="I11" s="5"/>
      <c r="J11" s="5"/>
      <c r="K11" s="9">
        <f t="shared" si="1"/>
        <v>0.05706272368825447</v>
      </c>
      <c r="L11" s="5"/>
      <c r="M11" s="5">
        <v>10</v>
      </c>
      <c r="N11" s="5">
        <v>0</v>
      </c>
      <c r="O11" s="5">
        <v>0</v>
      </c>
      <c r="P11" s="35">
        <f t="shared" si="2"/>
        <v>0.03333333333333333</v>
      </c>
      <c r="Q11" s="5"/>
    </row>
    <row r="12" spans="1:17" s="6" customFormat="1" ht="15">
      <c r="A12" s="5"/>
      <c r="B12" s="5"/>
      <c r="C12" s="10" t="s">
        <v>47</v>
      </c>
      <c r="D12" s="7">
        <f t="shared" si="0"/>
        <v>1500000</v>
      </c>
      <c r="E12" s="5"/>
      <c r="F12" s="7">
        <f>'[1]Mining Belt'!$O$37</f>
        <v>1500000</v>
      </c>
      <c r="G12" s="5"/>
      <c r="H12" s="5"/>
      <c r="I12" s="5"/>
      <c r="J12" s="5"/>
      <c r="K12" s="9">
        <f t="shared" si="1"/>
        <v>0.0028531361844127234</v>
      </c>
      <c r="L12" s="5"/>
      <c r="M12" s="5">
        <v>0</v>
      </c>
      <c r="N12" s="5">
        <v>0</v>
      </c>
      <c r="O12" s="5">
        <v>0</v>
      </c>
      <c r="P12" s="35">
        <f t="shared" si="2"/>
        <v>0</v>
      </c>
      <c r="Q12" s="5"/>
    </row>
    <row r="13" spans="1:17" s="6" customFormat="1" ht="15">
      <c r="A13" s="5"/>
      <c r="B13" s="5"/>
      <c r="C13" s="10"/>
      <c r="D13" s="23">
        <f>SUM(D4:D12)</f>
        <v>525737260</v>
      </c>
      <c r="E13" s="23">
        <f>SUM(E4:E12)</f>
        <v>30000000</v>
      </c>
      <c r="F13" s="16">
        <f>SUM(F4:F12)</f>
        <v>84000000</v>
      </c>
      <c r="G13" s="16">
        <f>SUM(G4:G12)</f>
        <v>411737260</v>
      </c>
      <c r="H13" s="16"/>
      <c r="I13" s="16"/>
      <c r="J13" s="16"/>
      <c r="K13" s="9">
        <f t="shared" si="1"/>
        <v>1</v>
      </c>
      <c r="L13" s="5"/>
      <c r="M13" s="34"/>
      <c r="N13" s="5"/>
      <c r="O13" s="5"/>
      <c r="P13" s="35"/>
      <c r="Q13" s="5"/>
    </row>
  </sheetData>
  <sheetProtection/>
  <mergeCells count="3">
    <mergeCell ref="A1:C1"/>
    <mergeCell ref="D1:K1"/>
    <mergeCell ref="L1:R1"/>
  </mergeCells>
  <printOptions/>
  <pageMargins left="0.7" right="0.7" top="0.75" bottom="0.75" header="0.3" footer="0.3"/>
  <pageSetup fitToHeight="1" fitToWidth="1" horizontalDpi="600" verticalDpi="600" orientation="landscape" paperSize="8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5.00390625" style="0" customWidth="1"/>
    <col min="3" max="3" width="61.00390625" style="0" customWidth="1"/>
    <col min="4" max="4" width="13.8515625" style="0" customWidth="1"/>
    <col min="5" max="5" width="12.421875" style="0" customWidth="1"/>
    <col min="6" max="6" width="11.140625" style="0" customWidth="1"/>
    <col min="7" max="7" width="12.421875" style="0" bestFit="1" customWidth="1"/>
    <col min="12" max="12" width="15.8515625" style="0" customWidth="1"/>
    <col min="13" max="13" width="12.421875" style="0" customWidth="1"/>
    <col min="14" max="14" width="17.7109375" style="0" customWidth="1"/>
    <col min="15" max="15" width="12.421875" style="0" customWidth="1"/>
    <col min="16" max="16" width="13.28125" style="0" customWidth="1"/>
    <col min="17" max="17" width="13.8515625" style="0" customWidth="1"/>
  </cols>
  <sheetData>
    <row r="1" spans="1:18" s="4" customFormat="1" ht="15">
      <c r="A1" s="38" t="s">
        <v>0</v>
      </c>
      <c r="B1" s="38"/>
      <c r="C1" s="38"/>
      <c r="D1" s="39" t="s">
        <v>95</v>
      </c>
      <c r="E1" s="40"/>
      <c r="F1" s="40"/>
      <c r="G1" s="40"/>
      <c r="H1" s="40"/>
      <c r="I1" s="40"/>
      <c r="J1" s="40"/>
      <c r="K1" s="41"/>
      <c r="L1" s="38" t="s">
        <v>12</v>
      </c>
      <c r="M1" s="38"/>
      <c r="N1" s="38"/>
      <c r="O1" s="38"/>
      <c r="P1" s="38"/>
      <c r="Q1" s="38"/>
      <c r="R1" s="38"/>
    </row>
    <row r="2" spans="1:17" s="1" customFormat="1" ht="45">
      <c r="A2" s="3" t="s">
        <v>1</v>
      </c>
      <c r="B2" s="2" t="s">
        <v>2</v>
      </c>
      <c r="C2" s="2" t="s">
        <v>3</v>
      </c>
      <c r="D2" s="2" t="s">
        <v>4</v>
      </c>
      <c r="E2" s="2" t="s">
        <v>18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17" customFormat="1" ht="15">
      <c r="A3" s="5" t="s">
        <v>79</v>
      </c>
      <c r="B3" s="5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16"/>
      <c r="N3" s="16"/>
      <c r="O3" s="16"/>
      <c r="P3" s="16"/>
      <c r="Q3" s="16"/>
    </row>
    <row r="4" spans="1:17" s="6" customFormat="1" ht="15">
      <c r="A4" s="5"/>
      <c r="B4" s="5"/>
      <c r="C4" s="5" t="s">
        <v>80</v>
      </c>
      <c r="D4" s="7">
        <f>SUM(E4:J4)</f>
        <v>62000000</v>
      </c>
      <c r="E4" s="7">
        <f>'[2]Soweto Corridor'!$G$2</f>
        <v>12000000</v>
      </c>
      <c r="F4" s="7">
        <f>'[2]Soweto Corridor'!$O$2+'[2]Soweto Corridor'!$X$2</f>
        <v>50000000</v>
      </c>
      <c r="G4" s="5"/>
      <c r="H4" s="5"/>
      <c r="I4" s="5"/>
      <c r="J4" s="5"/>
      <c r="K4" s="9">
        <f aca="true" t="shared" si="0" ref="K4:K10">D4/530103540</f>
        <v>0.11695828328179057</v>
      </c>
      <c r="L4" s="5"/>
      <c r="M4" s="5">
        <v>50</v>
      </c>
      <c r="N4" s="5">
        <v>15</v>
      </c>
      <c r="O4" s="5">
        <v>0</v>
      </c>
      <c r="P4" s="24">
        <f aca="true" t="shared" si="1" ref="P4:P9">SUM(M4:O4)/300</f>
        <v>0.21666666666666667</v>
      </c>
      <c r="Q4" s="5"/>
    </row>
    <row r="5" spans="1:17" s="6" customFormat="1" ht="15">
      <c r="A5" s="5"/>
      <c r="B5" s="5"/>
      <c r="C5" s="5" t="s">
        <v>81</v>
      </c>
      <c r="D5" s="7">
        <f>SUM(E5:J5)</f>
        <v>50500000</v>
      </c>
      <c r="E5" s="7">
        <f>'[2]Soweto Corridor'!$G$3+'[2]Soweto Corridor'!$P$3</f>
        <v>30500000</v>
      </c>
      <c r="F5" s="7">
        <f>'[2]Soweto Corridor'!$X$3</f>
        <v>20000000</v>
      </c>
      <c r="G5" s="5"/>
      <c r="H5" s="5"/>
      <c r="I5" s="5"/>
      <c r="J5" s="5"/>
      <c r="K5" s="9">
        <f t="shared" si="0"/>
        <v>0.09526440815694232</v>
      </c>
      <c r="L5" s="5"/>
      <c r="M5" s="5">
        <v>40</v>
      </c>
      <c r="N5" s="5">
        <v>40</v>
      </c>
      <c r="O5" s="5">
        <v>20</v>
      </c>
      <c r="P5" s="24">
        <f t="shared" si="1"/>
        <v>0.3333333333333333</v>
      </c>
      <c r="Q5" s="5"/>
    </row>
    <row r="6" spans="1:17" s="6" customFormat="1" ht="15">
      <c r="A6" s="5"/>
      <c r="B6" s="5"/>
      <c r="C6" s="5" t="s">
        <v>82</v>
      </c>
      <c r="D6" s="7">
        <f>F6</f>
        <v>1936540</v>
      </c>
      <c r="E6" s="5"/>
      <c r="F6" s="7">
        <f>'[2]Soweto Corridor'!$F$4+'[2]Soweto Corridor'!$O$4+'[2]Soweto Corridor'!$X$4</f>
        <v>1936540</v>
      </c>
      <c r="G6" s="5"/>
      <c r="H6" s="5"/>
      <c r="I6" s="5"/>
      <c r="J6" s="5"/>
      <c r="K6" s="9">
        <f t="shared" si="0"/>
        <v>0.0036531353855890117</v>
      </c>
      <c r="L6" s="5"/>
      <c r="M6" s="5">
        <v>90</v>
      </c>
      <c r="N6" s="5">
        <v>60</v>
      </c>
      <c r="O6" s="5">
        <v>60</v>
      </c>
      <c r="P6" s="24">
        <f t="shared" si="1"/>
        <v>0.7</v>
      </c>
      <c r="Q6" s="5"/>
    </row>
    <row r="7" spans="1:17" s="6" customFormat="1" ht="15">
      <c r="A7" s="5"/>
      <c r="B7" s="5"/>
      <c r="C7" s="5" t="s">
        <v>83</v>
      </c>
      <c r="D7" s="7">
        <f>G7</f>
        <v>152410000</v>
      </c>
      <c r="E7" s="5"/>
      <c r="F7" s="5"/>
      <c r="G7" s="7">
        <f>'[2]Soweto Corridor'!$H$5+'[2]Soweto Corridor'!$Q$5+'[2]Soweto Corridor'!$Z$5</f>
        <v>152410000</v>
      </c>
      <c r="H7" s="5"/>
      <c r="I7" s="5"/>
      <c r="J7" s="5"/>
      <c r="K7" s="9">
        <f t="shared" si="0"/>
        <v>0.2875098702415758</v>
      </c>
      <c r="L7" s="5"/>
      <c r="M7" s="5">
        <v>30</v>
      </c>
      <c r="N7" s="5">
        <v>10</v>
      </c>
      <c r="O7" s="5">
        <v>0</v>
      </c>
      <c r="P7" s="24">
        <f t="shared" si="1"/>
        <v>0.13333333333333333</v>
      </c>
      <c r="Q7" s="5"/>
    </row>
    <row r="8" spans="1:17" s="6" customFormat="1" ht="15">
      <c r="A8" s="5"/>
      <c r="B8" s="5"/>
      <c r="C8" s="5" t="s">
        <v>84</v>
      </c>
      <c r="D8" s="7">
        <f>G8</f>
        <v>90000000</v>
      </c>
      <c r="E8" s="5"/>
      <c r="F8" s="5"/>
      <c r="G8" s="7">
        <f>'[2]Soweto Corridor'!$H$6+'[2]Soweto Corridor'!$Z$6</f>
        <v>90000000</v>
      </c>
      <c r="H8" s="5"/>
      <c r="I8" s="5"/>
      <c r="J8" s="5"/>
      <c r="K8" s="9">
        <f t="shared" si="0"/>
        <v>0.16977815315098632</v>
      </c>
      <c r="L8" s="5"/>
      <c r="M8" s="5">
        <v>90</v>
      </c>
      <c r="N8" s="5">
        <v>60</v>
      </c>
      <c r="O8" s="5">
        <v>40</v>
      </c>
      <c r="P8" s="24">
        <f t="shared" si="1"/>
        <v>0.6333333333333333</v>
      </c>
      <c r="Q8" s="5"/>
    </row>
    <row r="9" spans="1:17" s="6" customFormat="1" ht="15">
      <c r="A9" s="5"/>
      <c r="B9" s="5"/>
      <c r="C9" s="5" t="s">
        <v>85</v>
      </c>
      <c r="D9" s="7">
        <f>G9</f>
        <v>173257000</v>
      </c>
      <c r="E9" s="5"/>
      <c r="F9" s="5"/>
      <c r="G9" s="7">
        <f>'[2]Soweto Corridor'!$H$7+'[2]Soweto Corridor'!$Q$7+'[2]Soweto Corridor'!$Z$7</f>
        <v>173257000</v>
      </c>
      <c r="H9" s="5"/>
      <c r="I9" s="5"/>
      <c r="J9" s="5"/>
      <c r="K9" s="9">
        <f t="shared" si="0"/>
        <v>0.326836149783116</v>
      </c>
      <c r="L9" s="5"/>
      <c r="M9" s="5">
        <v>80</v>
      </c>
      <c r="N9" s="5">
        <v>40</v>
      </c>
      <c r="O9" s="5">
        <v>25</v>
      </c>
      <c r="P9" s="24">
        <f t="shared" si="1"/>
        <v>0.48333333333333334</v>
      </c>
      <c r="Q9" s="5"/>
    </row>
    <row r="10" spans="1:17" ht="15">
      <c r="A10" s="29"/>
      <c r="B10" s="29"/>
      <c r="C10" s="29"/>
      <c r="D10" s="30">
        <f>SUM(D4:D9)</f>
        <v>530103540</v>
      </c>
      <c r="E10" s="30">
        <f>SUM(E4:E9)</f>
        <v>42500000</v>
      </c>
      <c r="F10" s="30">
        <f>SUM(F4:F9)</f>
        <v>71936540</v>
      </c>
      <c r="G10" s="31">
        <f>SUM(G4:G9)</f>
        <v>415667000</v>
      </c>
      <c r="H10" s="31"/>
      <c r="I10" s="31"/>
      <c r="J10" s="31"/>
      <c r="K10" s="19">
        <f t="shared" si="0"/>
        <v>1</v>
      </c>
      <c r="L10" s="29"/>
      <c r="M10" s="29"/>
      <c r="N10" s="29"/>
      <c r="O10" s="29"/>
      <c r="P10" s="29"/>
      <c r="Q10" s="29"/>
    </row>
  </sheetData>
  <sheetProtection/>
  <mergeCells count="3">
    <mergeCell ref="A1:C1"/>
    <mergeCell ref="D1:K1"/>
    <mergeCell ref="L1:R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22.8515625" style="0" customWidth="1"/>
    <col min="3" max="3" width="85.421875" style="0" customWidth="1"/>
    <col min="4" max="4" width="37.57421875" style="0" customWidth="1"/>
    <col min="5" max="5" width="16.00390625" style="0" customWidth="1"/>
    <col min="6" max="6" width="17.8515625" style="0" customWidth="1"/>
    <col min="7" max="7" width="18.00390625" style="0" customWidth="1"/>
    <col min="8" max="8" width="10.00390625" style="0" customWidth="1"/>
  </cols>
  <sheetData>
    <row r="1" spans="1:18" ht="15">
      <c r="A1" s="38" t="s">
        <v>0</v>
      </c>
      <c r="B1" s="38"/>
      <c r="C1" s="38"/>
      <c r="D1" s="39" t="s">
        <v>100</v>
      </c>
      <c r="E1" s="40"/>
      <c r="F1" s="40"/>
      <c r="G1" s="40"/>
      <c r="H1" s="40"/>
      <c r="I1" s="40"/>
      <c r="J1" s="40"/>
      <c r="K1" s="41"/>
      <c r="L1" s="38" t="s">
        <v>12</v>
      </c>
      <c r="M1" s="38"/>
      <c r="N1" s="38"/>
      <c r="O1" s="38"/>
      <c r="P1" s="38"/>
      <c r="Q1" s="38"/>
      <c r="R1" s="38"/>
    </row>
    <row r="2" spans="1:18" ht="75">
      <c r="A2" s="3" t="s">
        <v>1</v>
      </c>
      <c r="B2" s="2" t="s">
        <v>2</v>
      </c>
      <c r="C2" s="2" t="s">
        <v>3</v>
      </c>
      <c r="D2" s="2" t="s">
        <v>4</v>
      </c>
      <c r="E2" s="2" t="s">
        <v>18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1"/>
    </row>
    <row r="3" spans="1:18" ht="15">
      <c r="A3" s="5" t="s">
        <v>86</v>
      </c>
      <c r="B3" s="5">
        <v>10</v>
      </c>
      <c r="C3" s="5"/>
      <c r="D3" s="12"/>
      <c r="E3" s="12"/>
      <c r="F3" s="12"/>
      <c r="G3" s="12"/>
      <c r="H3" s="5"/>
      <c r="I3" s="5"/>
      <c r="J3" s="5"/>
      <c r="K3" s="9"/>
      <c r="L3" s="5"/>
      <c r="M3" s="5"/>
      <c r="N3" s="5"/>
      <c r="O3" s="5"/>
      <c r="P3" s="5"/>
      <c r="Q3" s="5"/>
      <c r="R3" s="6"/>
    </row>
    <row r="4" spans="1:18" ht="15">
      <c r="A4" s="5"/>
      <c r="B4" s="5"/>
      <c r="C4" s="5" t="s">
        <v>87</v>
      </c>
      <c r="D4" s="12">
        <f aca="true" t="shared" si="0" ref="D4:D12">SUM(E4:J4)</f>
        <v>2000000</v>
      </c>
      <c r="E4" s="12"/>
      <c r="F4" s="12">
        <f>'[3]Alexandra'!$X$5</f>
        <v>2000000</v>
      </c>
      <c r="G4" s="12"/>
      <c r="H4" s="5"/>
      <c r="I4" s="5"/>
      <c r="J4" s="5"/>
      <c r="K4" s="9">
        <f>D4/201510515</f>
        <v>0.009925040388090915</v>
      </c>
      <c r="L4" s="5"/>
      <c r="M4" s="5">
        <v>0</v>
      </c>
      <c r="N4" s="5">
        <v>30</v>
      </c>
      <c r="O4" s="5">
        <v>0</v>
      </c>
      <c r="P4" s="24">
        <f>SUM(M4:O4)/300</f>
        <v>0.1</v>
      </c>
      <c r="Q4" s="5"/>
      <c r="R4" s="6"/>
    </row>
    <row r="5" spans="1:18" ht="15">
      <c r="A5" s="5"/>
      <c r="B5" s="5"/>
      <c r="C5" s="5" t="s">
        <v>88</v>
      </c>
      <c r="D5" s="12">
        <f t="shared" si="0"/>
        <v>2000000</v>
      </c>
      <c r="E5" s="12">
        <f>'[3]Alexandra'!$Y$7</f>
        <v>2000000</v>
      </c>
      <c r="F5" s="12"/>
      <c r="G5" s="12"/>
      <c r="H5" s="5"/>
      <c r="I5" s="5"/>
      <c r="J5" s="5"/>
      <c r="K5" s="9">
        <f aca="true" t="shared" si="1" ref="K5:K14">D5/201510515</f>
        <v>0.009925040388090915</v>
      </c>
      <c r="L5" s="5"/>
      <c r="M5" s="5">
        <v>20</v>
      </c>
      <c r="N5" s="5">
        <v>0</v>
      </c>
      <c r="O5" s="5">
        <v>0</v>
      </c>
      <c r="P5" s="24">
        <f aca="true" t="shared" si="2" ref="P5:P13">SUM(M5:O5)/300</f>
        <v>0.06666666666666667</v>
      </c>
      <c r="Q5" s="5"/>
      <c r="R5" s="6"/>
    </row>
    <row r="6" spans="1:18" ht="15">
      <c r="A6" s="5"/>
      <c r="B6" s="5"/>
      <c r="C6" s="5" t="s">
        <v>89</v>
      </c>
      <c r="D6" s="12">
        <f t="shared" si="0"/>
        <v>1000000</v>
      </c>
      <c r="E6" s="12"/>
      <c r="F6" s="12">
        <f>'[3]Alexandra'!$X$8</f>
        <v>1000000</v>
      </c>
      <c r="G6" s="12"/>
      <c r="H6" s="5"/>
      <c r="I6" s="5"/>
      <c r="J6" s="5"/>
      <c r="K6" s="9">
        <f t="shared" si="1"/>
        <v>0.004962520194045457</v>
      </c>
      <c r="L6" s="5"/>
      <c r="M6" s="5">
        <v>0</v>
      </c>
      <c r="N6" s="5">
        <v>30</v>
      </c>
      <c r="O6" s="5">
        <v>0</v>
      </c>
      <c r="P6" s="24">
        <f t="shared" si="2"/>
        <v>0.1</v>
      </c>
      <c r="Q6" s="5"/>
      <c r="R6" s="6"/>
    </row>
    <row r="7" spans="1:18" ht="15">
      <c r="A7" s="5"/>
      <c r="B7" s="5"/>
      <c r="C7" s="5" t="s">
        <v>90</v>
      </c>
      <c r="D7" s="12">
        <f t="shared" si="0"/>
        <v>6000000</v>
      </c>
      <c r="E7" s="14">
        <f>'[3]Alexandra'!$P$9</f>
        <v>1000000</v>
      </c>
      <c r="F7" s="7">
        <f>'[3]Alexandra'!$X$9</f>
        <v>5000000</v>
      </c>
      <c r="G7" s="12"/>
      <c r="H7" s="5"/>
      <c r="I7" s="5"/>
      <c r="J7" s="5"/>
      <c r="K7" s="9">
        <f t="shared" si="1"/>
        <v>0.029775121164272743</v>
      </c>
      <c r="L7" s="5"/>
      <c r="M7" s="5">
        <v>50</v>
      </c>
      <c r="N7" s="5">
        <v>25</v>
      </c>
      <c r="O7" s="5">
        <v>0</v>
      </c>
      <c r="P7" s="24">
        <f t="shared" si="2"/>
        <v>0.25</v>
      </c>
      <c r="Q7" s="5"/>
      <c r="R7" s="6"/>
    </row>
    <row r="8" spans="1:18" ht="15">
      <c r="A8" s="5"/>
      <c r="B8" s="5"/>
      <c r="C8" s="5" t="s">
        <v>91</v>
      </c>
      <c r="D8" s="12">
        <f t="shared" si="0"/>
        <v>20000000</v>
      </c>
      <c r="E8" s="12"/>
      <c r="F8" s="7">
        <f>'[3]Alexandra'!$O$11+'[3]Alexandra'!$X$11</f>
        <v>20000000</v>
      </c>
      <c r="G8" s="12"/>
      <c r="H8" s="5"/>
      <c r="I8" s="5"/>
      <c r="J8" s="5"/>
      <c r="K8" s="9">
        <f t="shared" si="1"/>
        <v>0.09925040388090914</v>
      </c>
      <c r="L8" s="5"/>
      <c r="M8" s="5">
        <v>100</v>
      </c>
      <c r="N8" s="5">
        <v>80</v>
      </c>
      <c r="O8" s="5">
        <v>34</v>
      </c>
      <c r="P8" s="24">
        <f t="shared" si="2"/>
        <v>0.7133333333333334</v>
      </c>
      <c r="Q8" s="5"/>
      <c r="R8" s="6"/>
    </row>
    <row r="9" spans="1:18" ht="15">
      <c r="A9" s="5"/>
      <c r="B9" s="5"/>
      <c r="C9" s="5" t="s">
        <v>92</v>
      </c>
      <c r="D9" s="12">
        <f t="shared" si="0"/>
        <v>25000000</v>
      </c>
      <c r="E9" s="12">
        <f>'[3]Alexandra'!$G$12</f>
        <v>10000000</v>
      </c>
      <c r="F9" s="5">
        <f>'[3]Alexandra'!$O$12</f>
        <v>15000000</v>
      </c>
      <c r="G9" s="12"/>
      <c r="H9" s="5"/>
      <c r="I9" s="5"/>
      <c r="J9" s="5"/>
      <c r="K9" s="9">
        <f t="shared" si="1"/>
        <v>0.12406300485113643</v>
      </c>
      <c r="L9" s="5"/>
      <c r="M9" s="5">
        <v>100</v>
      </c>
      <c r="N9" s="5">
        <v>90</v>
      </c>
      <c r="O9" s="5">
        <v>8</v>
      </c>
      <c r="P9" s="24">
        <f t="shared" si="2"/>
        <v>0.66</v>
      </c>
      <c r="Q9" s="5"/>
      <c r="R9" s="6"/>
    </row>
    <row r="10" spans="1:18" ht="15">
      <c r="A10" s="5"/>
      <c r="B10" s="5"/>
      <c r="C10" s="5" t="s">
        <v>28</v>
      </c>
      <c r="D10" s="12">
        <f t="shared" si="0"/>
        <v>4000000</v>
      </c>
      <c r="E10" s="12">
        <f>'[3]Alexandra'!$G$14+'[3]Alexandra'!$P$14</f>
        <v>4000000</v>
      </c>
      <c r="F10" s="7"/>
      <c r="G10" s="12"/>
      <c r="H10" s="5"/>
      <c r="I10" s="5"/>
      <c r="J10" s="5"/>
      <c r="K10" s="9">
        <f t="shared" si="1"/>
        <v>0.01985008077618183</v>
      </c>
      <c r="L10" s="5"/>
      <c r="M10" s="5">
        <v>20</v>
      </c>
      <c r="N10" s="5">
        <v>20</v>
      </c>
      <c r="O10" s="5">
        <v>5</v>
      </c>
      <c r="P10" s="24">
        <f t="shared" si="2"/>
        <v>0.15</v>
      </c>
      <c r="Q10" s="5"/>
      <c r="R10" s="6"/>
    </row>
    <row r="11" spans="1:18" ht="15">
      <c r="A11" s="5"/>
      <c r="B11" s="5"/>
      <c r="C11" s="5" t="s">
        <v>93</v>
      </c>
      <c r="D11" s="12">
        <f t="shared" si="0"/>
        <v>31500000</v>
      </c>
      <c r="E11" s="12"/>
      <c r="F11" s="7"/>
      <c r="G11" s="12">
        <f>'[3]Alexandra'!$S$22+'[3]Alexandra'!$AB$22</f>
        <v>31500000</v>
      </c>
      <c r="H11" s="5"/>
      <c r="I11" s="5"/>
      <c r="J11" s="5"/>
      <c r="K11" s="9">
        <f t="shared" si="1"/>
        <v>0.1563193861124319</v>
      </c>
      <c r="L11" s="5"/>
      <c r="M11" s="5">
        <v>100</v>
      </c>
      <c r="N11" s="5">
        <v>50</v>
      </c>
      <c r="O11" s="5">
        <v>0</v>
      </c>
      <c r="P11" s="24">
        <f t="shared" si="2"/>
        <v>0.5</v>
      </c>
      <c r="Q11" s="5"/>
      <c r="R11" s="6"/>
    </row>
    <row r="12" spans="1:18" ht="15">
      <c r="A12" s="5"/>
      <c r="B12" s="5"/>
      <c r="C12" s="5" t="s">
        <v>35</v>
      </c>
      <c r="D12" s="12">
        <f t="shared" si="0"/>
        <v>8500000</v>
      </c>
      <c r="E12" s="12"/>
      <c r="F12" s="7">
        <f>'[3]Alexandra'!$F$23</f>
        <v>8500000</v>
      </c>
      <c r="G12" s="12"/>
      <c r="H12" s="5"/>
      <c r="I12" s="5"/>
      <c r="J12" s="5"/>
      <c r="K12" s="9">
        <f t="shared" si="1"/>
        <v>0.04218142164938639</v>
      </c>
      <c r="L12" s="5"/>
      <c r="M12" s="5">
        <v>100</v>
      </c>
      <c r="N12" s="5">
        <v>80</v>
      </c>
      <c r="O12" s="5">
        <v>35</v>
      </c>
      <c r="P12" s="24">
        <f t="shared" si="2"/>
        <v>0.7166666666666667</v>
      </c>
      <c r="Q12" s="5"/>
      <c r="R12" s="6"/>
    </row>
    <row r="13" spans="1:18" ht="15">
      <c r="A13" s="5"/>
      <c r="B13" s="5"/>
      <c r="C13" s="5" t="s">
        <v>94</v>
      </c>
      <c r="D13" s="12">
        <f>G13</f>
        <v>101510515</v>
      </c>
      <c r="E13" s="12"/>
      <c r="F13" s="6"/>
      <c r="G13" s="15">
        <f>'[3]Alexandra'!$AB$28</f>
        <v>101510515</v>
      </c>
      <c r="H13" s="5"/>
      <c r="I13" s="5"/>
      <c r="J13" s="5"/>
      <c r="K13" s="9">
        <f t="shared" si="1"/>
        <v>0.5037479805954543</v>
      </c>
      <c r="L13" s="5"/>
      <c r="M13" s="5">
        <v>0</v>
      </c>
      <c r="N13" s="5">
        <v>30</v>
      </c>
      <c r="O13" s="5">
        <v>0</v>
      </c>
      <c r="P13" s="24">
        <f t="shared" si="2"/>
        <v>0.1</v>
      </c>
      <c r="Q13" s="5"/>
      <c r="R13" s="6"/>
    </row>
    <row r="14" spans="1:18" ht="15">
      <c r="A14" s="16"/>
      <c r="B14" s="16"/>
      <c r="C14" s="16"/>
      <c r="D14" s="18">
        <f>SUM(D3:D13)</f>
        <v>201510515</v>
      </c>
      <c r="E14" s="18">
        <f>SUM(E3:E13)</f>
        <v>17000000</v>
      </c>
      <c r="F14" s="18">
        <f>SUM(F3:F13)</f>
        <v>51500000</v>
      </c>
      <c r="G14" s="18">
        <f>SUM(G3:G13)</f>
        <v>133010515</v>
      </c>
      <c r="H14" s="16"/>
      <c r="I14" s="16"/>
      <c r="J14" s="16"/>
      <c r="K14" s="9">
        <f t="shared" si="1"/>
        <v>1</v>
      </c>
      <c r="L14" s="16"/>
      <c r="M14" s="16"/>
      <c r="N14" s="16"/>
      <c r="O14" s="16"/>
      <c r="P14" s="16"/>
      <c r="Q14" s="16"/>
      <c r="R14" s="17"/>
    </row>
  </sheetData>
  <sheetProtection/>
  <mergeCells count="3">
    <mergeCell ref="A1:C1"/>
    <mergeCell ref="D1:K1"/>
    <mergeCell ref="L1:R1"/>
  </mergeCells>
  <printOptions/>
  <pageMargins left="0.7" right="0.7" top="0.75" bottom="0.75" header="0.3" footer="0.3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Rirhandzu Khoza</dc:creator>
  <cp:keywords/>
  <dc:description/>
  <cp:lastModifiedBy>Elsabe Rossouw</cp:lastModifiedBy>
  <cp:lastPrinted>2017-03-30T09:50:58Z</cp:lastPrinted>
  <dcterms:created xsi:type="dcterms:W3CDTF">2017-03-28T14:04:35Z</dcterms:created>
  <dcterms:modified xsi:type="dcterms:W3CDTF">2017-06-05T07:04:53Z</dcterms:modified>
  <cp:category/>
  <cp:version/>
  <cp:contentType/>
  <cp:contentStatus/>
</cp:coreProperties>
</file>